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885" yWindow="600" windowWidth="14820" windowHeight="8820" tabRatio="714"/>
  </bookViews>
  <sheets>
    <sheet name="9 Прогр(нов.форм)" sheetId="13" r:id="rId1"/>
  </sheets>
  <definedNames>
    <definedName name="_xlnm.Print_Titles" localSheetId="0">'9 Прогр(нов.форм)'!$5:$5</definedName>
  </definedNames>
  <calcPr calcId="125725"/>
</workbook>
</file>

<file path=xl/calcChain.xml><?xml version="1.0" encoding="utf-8"?>
<calcChain xmlns="http://schemas.openxmlformats.org/spreadsheetml/2006/main">
  <c r="L15" i="13"/>
  <c r="L16"/>
  <c r="K11" l="1"/>
  <c r="L11"/>
  <c r="K13"/>
  <c r="L13"/>
  <c r="K15"/>
  <c r="K19"/>
  <c r="L19"/>
  <c r="K20"/>
  <c r="L20"/>
  <c r="K23"/>
  <c r="L23"/>
  <c r="K24"/>
  <c r="K28"/>
  <c r="L28"/>
  <c r="K33"/>
  <c r="L33"/>
  <c r="K42"/>
  <c r="L42"/>
  <c r="N42"/>
  <c r="O42"/>
  <c r="K44"/>
  <c r="L44"/>
  <c r="N44"/>
  <c r="O44"/>
  <c r="K45"/>
  <c r="L45"/>
  <c r="N45"/>
  <c r="O45"/>
  <c r="K49"/>
  <c r="L49"/>
  <c r="K50"/>
  <c r="L50"/>
  <c r="N50"/>
  <c r="O50"/>
  <c r="K54"/>
  <c r="L54"/>
  <c r="K55"/>
  <c r="L55"/>
  <c r="N55"/>
  <c r="O55"/>
  <c r="K57"/>
  <c r="L57"/>
  <c r="K59"/>
  <c r="L59"/>
  <c r="K65"/>
  <c r="L65"/>
  <c r="N65"/>
  <c r="O65"/>
  <c r="K72"/>
  <c r="L72"/>
  <c r="K83"/>
  <c r="L83"/>
  <c r="K85"/>
  <c r="L85"/>
  <c r="K88"/>
  <c r="L88"/>
  <c r="K89"/>
  <c r="L89"/>
  <c r="K90"/>
  <c r="K92"/>
  <c r="L92"/>
  <c r="K96"/>
  <c r="L96"/>
  <c r="N96"/>
  <c r="O96"/>
  <c r="K97"/>
  <c r="L97"/>
  <c r="K98"/>
  <c r="L98"/>
  <c r="N98"/>
  <c r="O98"/>
  <c r="K99"/>
  <c r="L99"/>
  <c r="N99"/>
  <c r="O99"/>
  <c r="K102"/>
  <c r="L102"/>
  <c r="N102"/>
  <c r="O102"/>
  <c r="K103"/>
  <c r="L103"/>
  <c r="K104"/>
  <c r="L104"/>
  <c r="N104"/>
  <c r="O104"/>
  <c r="K105"/>
  <c r="L105"/>
  <c r="N105"/>
  <c r="O105"/>
  <c r="K108"/>
  <c r="L108"/>
  <c r="K109"/>
  <c r="K110"/>
  <c r="K114"/>
  <c r="K125"/>
  <c r="L125"/>
  <c r="K127"/>
  <c r="L127"/>
  <c r="J117" l="1"/>
  <c r="J118"/>
  <c r="K118" s="1"/>
  <c r="J113"/>
  <c r="J81"/>
  <c r="J80"/>
  <c r="J76"/>
  <c r="J70"/>
  <c r="K70" s="1"/>
  <c r="J68"/>
  <c r="J69"/>
  <c r="L113" l="1"/>
  <c r="K113"/>
  <c r="L117"/>
  <c r="K117"/>
  <c r="J64"/>
  <c r="J63"/>
  <c r="J53"/>
  <c r="J48"/>
  <c r="J32"/>
  <c r="J27"/>
  <c r="J18"/>
  <c r="H123"/>
  <c r="H117"/>
  <c r="H70"/>
  <c r="H69"/>
  <c r="H32"/>
  <c r="L27" l="1"/>
  <c r="K27"/>
  <c r="L18"/>
  <c r="K18"/>
  <c r="H43"/>
  <c r="H10" l="1"/>
  <c r="H75"/>
  <c r="H120"/>
  <c r="H126" l="1"/>
  <c r="H124"/>
  <c r="H122"/>
  <c r="H115"/>
  <c r="H111"/>
  <c r="H106"/>
  <c r="H101"/>
  <c r="H95"/>
  <c r="H93"/>
  <c r="H91"/>
  <c r="H86"/>
  <c r="H84"/>
  <c r="H82"/>
  <c r="H78"/>
  <c r="H73"/>
  <c r="H71"/>
  <c r="H61"/>
  <c r="H58"/>
  <c r="H56"/>
  <c r="H51"/>
  <c r="H46"/>
  <c r="H41"/>
  <c r="H38"/>
  <c r="H36"/>
  <c r="H34"/>
  <c r="H30"/>
  <c r="H25"/>
  <c r="H21"/>
  <c r="H16"/>
  <c r="H14"/>
  <c r="H12"/>
  <c r="H8"/>
  <c r="H29" l="1"/>
  <c r="H100"/>
  <c r="H121"/>
  <c r="H77"/>
  <c r="H40"/>
  <c r="H66"/>
  <c r="H60" s="1"/>
  <c r="H119"/>
  <c r="H7" l="1"/>
  <c r="F117"/>
  <c r="F113"/>
  <c r="F94"/>
  <c r="F92"/>
  <c r="F80"/>
  <c r="F75"/>
  <c r="F68"/>
  <c r="F63"/>
  <c r="F53"/>
  <c r="F48"/>
  <c r="F43"/>
  <c r="F39"/>
  <c r="F18" l="1"/>
  <c r="E11" l="1"/>
  <c r="G11" s="1"/>
  <c r="I11" s="1"/>
  <c r="N11" l="1"/>
  <c r="O11"/>
  <c r="G70"/>
  <c r="I70" s="1"/>
  <c r="F108"/>
  <c r="F83"/>
  <c r="N70" l="1"/>
  <c r="O70"/>
  <c r="G24"/>
  <c r="I24" s="1"/>
  <c r="F21"/>
  <c r="J21"/>
  <c r="F120"/>
  <c r="F37"/>
  <c r="F32"/>
  <c r="G20"/>
  <c r="I20" s="1"/>
  <c r="F118"/>
  <c r="G118" s="1"/>
  <c r="I118" s="1"/>
  <c r="F76"/>
  <c r="F64"/>
  <c r="O118" l="1"/>
  <c r="N118"/>
  <c r="O24"/>
  <c r="N24"/>
  <c r="O20"/>
  <c r="N20"/>
  <c r="F126"/>
  <c r="F124"/>
  <c r="F122"/>
  <c r="F119"/>
  <c r="F115"/>
  <c r="F111"/>
  <c r="F106"/>
  <c r="F101"/>
  <c r="F95"/>
  <c r="F93"/>
  <c r="F91"/>
  <c r="F84"/>
  <c r="F82"/>
  <c r="F78"/>
  <c r="F73"/>
  <c r="F71"/>
  <c r="F66"/>
  <c r="F58"/>
  <c r="F56"/>
  <c r="F51"/>
  <c r="F46"/>
  <c r="F41"/>
  <c r="F38"/>
  <c r="F36"/>
  <c r="F34"/>
  <c r="F30"/>
  <c r="F25"/>
  <c r="F16"/>
  <c r="F14"/>
  <c r="F12"/>
  <c r="F8"/>
  <c r="F77" l="1"/>
  <c r="F121"/>
  <c r="F29"/>
  <c r="F100"/>
  <c r="F40"/>
  <c r="F61"/>
  <c r="F60" s="1"/>
  <c r="F86"/>
  <c r="F7" l="1"/>
  <c r="E114"/>
  <c r="G114" s="1"/>
  <c r="I114" s="1"/>
  <c r="E109"/>
  <c r="G109" s="1"/>
  <c r="I109" s="1"/>
  <c r="E110"/>
  <c r="G110" s="1"/>
  <c r="I110" s="1"/>
  <c r="E90"/>
  <c r="G90" s="1"/>
  <c r="I90" s="1"/>
  <c r="D89"/>
  <c r="E89" s="1"/>
  <c r="D106"/>
  <c r="J106"/>
  <c r="C106"/>
  <c r="D103"/>
  <c r="E103" s="1"/>
  <c r="D69"/>
  <c r="D66" s="1"/>
  <c r="D68"/>
  <c r="D64"/>
  <c r="D63"/>
  <c r="D75"/>
  <c r="D73" s="1"/>
  <c r="D32"/>
  <c r="E127"/>
  <c r="G127" s="1"/>
  <c r="E125"/>
  <c r="E117"/>
  <c r="E113"/>
  <c r="G113" s="1"/>
  <c r="E108"/>
  <c r="G108" s="1"/>
  <c r="I108" s="1"/>
  <c r="E97"/>
  <c r="G97" s="1"/>
  <c r="E92"/>
  <c r="G92" s="1"/>
  <c r="E88"/>
  <c r="G88" s="1"/>
  <c r="I88" s="1"/>
  <c r="E85"/>
  <c r="G85" s="1"/>
  <c r="E83"/>
  <c r="E72"/>
  <c r="G72" s="1"/>
  <c r="E59"/>
  <c r="G59" s="1"/>
  <c r="E57"/>
  <c r="G57" s="1"/>
  <c r="E54"/>
  <c r="G54" s="1"/>
  <c r="I54" s="1"/>
  <c r="E49"/>
  <c r="G49" s="1"/>
  <c r="I49" s="1"/>
  <c r="E33"/>
  <c r="G33" s="1"/>
  <c r="I33" s="1"/>
  <c r="E28"/>
  <c r="E27"/>
  <c r="G27" s="1"/>
  <c r="I27" s="1"/>
  <c r="E23"/>
  <c r="E21" s="1"/>
  <c r="E19"/>
  <c r="G19" s="1"/>
  <c r="I19" s="1"/>
  <c r="E18"/>
  <c r="E15"/>
  <c r="G15" s="1"/>
  <c r="E13"/>
  <c r="E84"/>
  <c r="E56"/>
  <c r="D126"/>
  <c r="D124"/>
  <c r="D122"/>
  <c r="D119"/>
  <c r="D115"/>
  <c r="D111"/>
  <c r="D101"/>
  <c r="D95"/>
  <c r="D93"/>
  <c r="D91"/>
  <c r="D86"/>
  <c r="D84"/>
  <c r="D82"/>
  <c r="D78"/>
  <c r="D71"/>
  <c r="D61"/>
  <c r="D58"/>
  <c r="D56"/>
  <c r="D51"/>
  <c r="D46"/>
  <c r="D41"/>
  <c r="D38"/>
  <c r="D36"/>
  <c r="D34"/>
  <c r="D30"/>
  <c r="D25"/>
  <c r="D21"/>
  <c r="D16"/>
  <c r="D14"/>
  <c r="D12"/>
  <c r="D8"/>
  <c r="E126" l="1"/>
  <c r="E95"/>
  <c r="N27"/>
  <c r="O27"/>
  <c r="N54"/>
  <c r="O54"/>
  <c r="N49"/>
  <c r="O49"/>
  <c r="O19"/>
  <c r="N19"/>
  <c r="O33"/>
  <c r="N33"/>
  <c r="N88"/>
  <c r="O88"/>
  <c r="O108"/>
  <c r="N108"/>
  <c r="N114"/>
  <c r="O114"/>
  <c r="O110"/>
  <c r="N110"/>
  <c r="N109"/>
  <c r="O109"/>
  <c r="L106"/>
  <c r="K106"/>
  <c r="I106"/>
  <c r="N90"/>
  <c r="O90"/>
  <c r="G14"/>
  <c r="I15"/>
  <c r="G91"/>
  <c r="I92"/>
  <c r="G71"/>
  <c r="I72"/>
  <c r="G111"/>
  <c r="I113"/>
  <c r="G58"/>
  <c r="I59"/>
  <c r="G126"/>
  <c r="I127"/>
  <c r="G56"/>
  <c r="I57"/>
  <c r="G84"/>
  <c r="I85"/>
  <c r="G95"/>
  <c r="I97"/>
  <c r="G18"/>
  <c r="I18" s="1"/>
  <c r="E16"/>
  <c r="E71"/>
  <c r="E58"/>
  <c r="E111"/>
  <c r="E14"/>
  <c r="E25"/>
  <c r="G28"/>
  <c r="D29"/>
  <c r="E91"/>
  <c r="E12"/>
  <c r="G13"/>
  <c r="G23"/>
  <c r="E82"/>
  <c r="G83"/>
  <c r="E124"/>
  <c r="G125"/>
  <c r="E106"/>
  <c r="G106"/>
  <c r="E86"/>
  <c r="G89"/>
  <c r="E101"/>
  <c r="G103"/>
  <c r="E115"/>
  <c r="G117"/>
  <c r="D121"/>
  <c r="D100"/>
  <c r="D77"/>
  <c r="D60"/>
  <c r="D40"/>
  <c r="D7" l="1"/>
  <c r="G16"/>
  <c r="I126"/>
  <c r="O127"/>
  <c r="N127"/>
  <c r="I111"/>
  <c r="N113"/>
  <c r="O113"/>
  <c r="I91"/>
  <c r="O92"/>
  <c r="N92"/>
  <c r="I95"/>
  <c r="O97"/>
  <c r="N97"/>
  <c r="I56"/>
  <c r="O57"/>
  <c r="N57"/>
  <c r="I58"/>
  <c r="O59"/>
  <c r="N59"/>
  <c r="I71"/>
  <c r="N72"/>
  <c r="O72"/>
  <c r="I14"/>
  <c r="N15"/>
  <c r="O15"/>
  <c r="I84"/>
  <c r="N85"/>
  <c r="O85"/>
  <c r="I16"/>
  <c r="N18"/>
  <c r="O18"/>
  <c r="E100"/>
  <c r="O106"/>
  <c r="N106"/>
  <c r="G124"/>
  <c r="I125"/>
  <c r="G21"/>
  <c r="I23"/>
  <c r="G115"/>
  <c r="I117"/>
  <c r="G86"/>
  <c r="I89"/>
  <c r="G82"/>
  <c r="I83"/>
  <c r="G25"/>
  <c r="I28"/>
  <c r="G101"/>
  <c r="G100" s="1"/>
  <c r="I103"/>
  <c r="G12"/>
  <c r="I13"/>
  <c r="I124" l="1"/>
  <c r="O125"/>
  <c r="N125"/>
  <c r="I115"/>
  <c r="O117"/>
  <c r="N117"/>
  <c r="O103"/>
  <c r="N103"/>
  <c r="I25"/>
  <c r="O28"/>
  <c r="N28"/>
  <c r="I86"/>
  <c r="N89"/>
  <c r="O89"/>
  <c r="I21"/>
  <c r="O23"/>
  <c r="N23"/>
  <c r="I82"/>
  <c r="N83"/>
  <c r="O83"/>
  <c r="I12"/>
  <c r="N13"/>
  <c r="O13"/>
  <c r="I101"/>
  <c r="N21" l="1"/>
  <c r="O21"/>
  <c r="I100"/>
  <c r="C123" l="1"/>
  <c r="C120"/>
  <c r="C94"/>
  <c r="C81"/>
  <c r="C80"/>
  <c r="C68"/>
  <c r="C76"/>
  <c r="C64"/>
  <c r="C75"/>
  <c r="C69"/>
  <c r="C63"/>
  <c r="C53"/>
  <c r="C48"/>
  <c r="C43"/>
  <c r="C39"/>
  <c r="C37"/>
  <c r="C32"/>
  <c r="C35"/>
  <c r="J25"/>
  <c r="C25"/>
  <c r="C21"/>
  <c r="J16"/>
  <c r="C16"/>
  <c r="J14"/>
  <c r="C14"/>
  <c r="J12"/>
  <c r="C12"/>
  <c r="C10"/>
  <c r="K12" l="1"/>
  <c r="E63"/>
  <c r="G63" s="1"/>
  <c r="I63" s="1"/>
  <c r="K63"/>
  <c r="L63"/>
  <c r="E76"/>
  <c r="G76" s="1"/>
  <c r="I76" s="1"/>
  <c r="O76" s="1"/>
  <c r="K76"/>
  <c r="L76"/>
  <c r="E94"/>
  <c r="L94"/>
  <c r="K94"/>
  <c r="E39"/>
  <c r="L39"/>
  <c r="K39"/>
  <c r="L10"/>
  <c r="K10"/>
  <c r="E37"/>
  <c r="L37"/>
  <c r="K37"/>
  <c r="E53"/>
  <c r="K53"/>
  <c r="L53"/>
  <c r="E64"/>
  <c r="E61" s="1"/>
  <c r="K64"/>
  <c r="L64"/>
  <c r="E81"/>
  <c r="G81" s="1"/>
  <c r="K81"/>
  <c r="L81"/>
  <c r="K32"/>
  <c r="L32"/>
  <c r="E48"/>
  <c r="K48"/>
  <c r="L48"/>
  <c r="E75"/>
  <c r="E73" s="1"/>
  <c r="L75"/>
  <c r="K75"/>
  <c r="E80"/>
  <c r="G80" s="1"/>
  <c r="I80" s="1"/>
  <c r="N80" s="1"/>
  <c r="K80"/>
  <c r="L80"/>
  <c r="E123"/>
  <c r="E122" s="1"/>
  <c r="E121" s="1"/>
  <c r="L123"/>
  <c r="K123"/>
  <c r="E35"/>
  <c r="E34" s="1"/>
  <c r="K35"/>
  <c r="L35"/>
  <c r="E43"/>
  <c r="G43" s="1"/>
  <c r="L43"/>
  <c r="K43"/>
  <c r="E69"/>
  <c r="G69" s="1"/>
  <c r="I69" s="1"/>
  <c r="O69" s="1"/>
  <c r="K69"/>
  <c r="L69"/>
  <c r="E68"/>
  <c r="K68"/>
  <c r="L68"/>
  <c r="E120"/>
  <c r="L120"/>
  <c r="K120"/>
  <c r="L25"/>
  <c r="O25"/>
  <c r="N25"/>
  <c r="L12"/>
  <c r="O12"/>
  <c r="N12"/>
  <c r="O16"/>
  <c r="N16"/>
  <c r="N69"/>
  <c r="O63"/>
  <c r="N63"/>
  <c r="K25"/>
  <c r="N76"/>
  <c r="L14"/>
  <c r="O14"/>
  <c r="N14"/>
  <c r="K21"/>
  <c r="L21"/>
  <c r="O80"/>
  <c r="K14"/>
  <c r="K16"/>
  <c r="G64"/>
  <c r="I64" s="1"/>
  <c r="C30"/>
  <c r="E32"/>
  <c r="E41"/>
  <c r="G53"/>
  <c r="E51"/>
  <c r="J8"/>
  <c r="J30"/>
  <c r="E66"/>
  <c r="G68"/>
  <c r="G120"/>
  <c r="E119"/>
  <c r="G37"/>
  <c r="E36"/>
  <c r="G48"/>
  <c r="E46"/>
  <c r="C8"/>
  <c r="E10"/>
  <c r="G39"/>
  <c r="E38"/>
  <c r="G94"/>
  <c r="E93"/>
  <c r="G123"/>
  <c r="E78" l="1"/>
  <c r="E77" s="1"/>
  <c r="G75"/>
  <c r="I75" s="1"/>
  <c r="G61"/>
  <c r="G35"/>
  <c r="I35" s="1"/>
  <c r="L8"/>
  <c r="L30"/>
  <c r="I61"/>
  <c r="O64"/>
  <c r="N64"/>
  <c r="K8"/>
  <c r="K30"/>
  <c r="G78"/>
  <c r="G77" s="1"/>
  <c r="I81"/>
  <c r="G122"/>
  <c r="G121" s="1"/>
  <c r="I123"/>
  <c r="G66"/>
  <c r="I68"/>
  <c r="G93"/>
  <c r="I94"/>
  <c r="G36"/>
  <c r="I37"/>
  <c r="G119"/>
  <c r="I120"/>
  <c r="G41"/>
  <c r="I43"/>
  <c r="G38"/>
  <c r="I39"/>
  <c r="G46"/>
  <c r="I48"/>
  <c r="G51"/>
  <c r="I53"/>
  <c r="G10"/>
  <c r="E8"/>
  <c r="E30"/>
  <c r="E29" s="1"/>
  <c r="G32"/>
  <c r="E60"/>
  <c r="E40"/>
  <c r="G73" l="1"/>
  <c r="G60" s="1"/>
  <c r="E7"/>
  <c r="G34"/>
  <c r="G40"/>
  <c r="I36"/>
  <c r="N37"/>
  <c r="O37"/>
  <c r="I46"/>
  <c r="O48"/>
  <c r="N48"/>
  <c r="I93"/>
  <c r="N94"/>
  <c r="O94"/>
  <c r="I34"/>
  <c r="O35"/>
  <c r="N35"/>
  <c r="I41"/>
  <c r="O43"/>
  <c r="N43"/>
  <c r="I122"/>
  <c r="O123"/>
  <c r="N123"/>
  <c r="I51"/>
  <c r="O53"/>
  <c r="N53"/>
  <c r="I38"/>
  <c r="O39"/>
  <c r="N39"/>
  <c r="I119"/>
  <c r="O120"/>
  <c r="N120"/>
  <c r="I73"/>
  <c r="N75"/>
  <c r="O75"/>
  <c r="I66"/>
  <c r="O68"/>
  <c r="N68"/>
  <c r="I78"/>
  <c r="N81"/>
  <c r="O81"/>
  <c r="G30"/>
  <c r="I32"/>
  <c r="G8"/>
  <c r="I10"/>
  <c r="G7" l="1"/>
  <c r="G29"/>
  <c r="I40"/>
  <c r="I121"/>
  <c r="I77"/>
  <c r="I60"/>
  <c r="I30"/>
  <c r="O32"/>
  <c r="N32"/>
  <c r="I8"/>
  <c r="N10"/>
  <c r="O10"/>
  <c r="I7" l="1"/>
  <c r="I29"/>
  <c r="N30"/>
  <c r="O30"/>
  <c r="N8"/>
  <c r="O8"/>
  <c r="J101"/>
  <c r="O101" l="1"/>
  <c r="N101"/>
  <c r="J111"/>
  <c r="C111"/>
  <c r="J66"/>
  <c r="N111" l="1"/>
  <c r="O111"/>
  <c r="O66"/>
  <c r="N66"/>
  <c r="L111"/>
  <c r="K111"/>
  <c r="J51" l="1"/>
  <c r="J41"/>
  <c r="C66"/>
  <c r="O51" l="1"/>
  <c r="N51"/>
  <c r="O41"/>
  <c r="N41"/>
  <c r="L66"/>
  <c r="K66"/>
  <c r="C86" l="1"/>
  <c r="J119" l="1"/>
  <c r="J38"/>
  <c r="J86"/>
  <c r="K86" s="1"/>
  <c r="C101"/>
  <c r="C93"/>
  <c r="C41"/>
  <c r="J100"/>
  <c r="C51"/>
  <c r="C46"/>
  <c r="K46" s="1"/>
  <c r="J46"/>
  <c r="J122"/>
  <c r="C122"/>
  <c r="C38"/>
  <c r="K38" s="1"/>
  <c r="L122" l="1"/>
  <c r="O122"/>
  <c r="N122"/>
  <c r="K101"/>
  <c r="L101"/>
  <c r="N86"/>
  <c r="O86"/>
  <c r="K51"/>
  <c r="L51"/>
  <c r="O119"/>
  <c r="N119"/>
  <c r="O100"/>
  <c r="N100"/>
  <c r="L46"/>
  <c r="O46"/>
  <c r="N46"/>
  <c r="K41"/>
  <c r="L41"/>
  <c r="L38"/>
  <c r="O38"/>
  <c r="N38"/>
  <c r="K122"/>
  <c r="L86"/>
  <c r="C100"/>
  <c r="J93"/>
  <c r="K93" s="1"/>
  <c r="C58"/>
  <c r="J84"/>
  <c r="C91"/>
  <c r="J91"/>
  <c r="J95"/>
  <c r="C84"/>
  <c r="K84" s="1"/>
  <c r="C61"/>
  <c r="J61"/>
  <c r="J58"/>
  <c r="J73"/>
  <c r="K61" l="1"/>
  <c r="K91"/>
  <c r="O73"/>
  <c r="N73"/>
  <c r="L84"/>
  <c r="O84"/>
  <c r="N84"/>
  <c r="O61"/>
  <c r="L61"/>
  <c r="N61"/>
  <c r="L91"/>
  <c r="O91"/>
  <c r="N91"/>
  <c r="L93"/>
  <c r="O93"/>
  <c r="N93"/>
  <c r="L58"/>
  <c r="O58"/>
  <c r="N58"/>
  <c r="O95"/>
  <c r="N95"/>
  <c r="K58"/>
  <c r="K100"/>
  <c r="L100"/>
  <c r="C119"/>
  <c r="C95"/>
  <c r="K95" s="1"/>
  <c r="C71"/>
  <c r="J56"/>
  <c r="J126"/>
  <c r="J124"/>
  <c r="C126"/>
  <c r="J71"/>
  <c r="C124"/>
  <c r="C56"/>
  <c r="C115"/>
  <c r="C73"/>
  <c r="K73" s="1"/>
  <c r="L73" l="1"/>
  <c r="K71"/>
  <c r="L126"/>
  <c r="O126"/>
  <c r="N126"/>
  <c r="C40"/>
  <c r="K56"/>
  <c r="C121"/>
  <c r="K124"/>
  <c r="O124"/>
  <c r="L124"/>
  <c r="N124"/>
  <c r="K119"/>
  <c r="L119"/>
  <c r="K126"/>
  <c r="L95"/>
  <c r="L71"/>
  <c r="O71"/>
  <c r="N71"/>
  <c r="L56"/>
  <c r="O56"/>
  <c r="N56"/>
  <c r="J121"/>
  <c r="J60"/>
  <c r="J40"/>
  <c r="J115"/>
  <c r="L115" s="1"/>
  <c r="C60"/>
  <c r="J78"/>
  <c r="C34"/>
  <c r="J36"/>
  <c r="J34"/>
  <c r="C78"/>
  <c r="K78" s="1"/>
  <c r="C36"/>
  <c r="K36" s="1"/>
  <c r="C82"/>
  <c r="J82"/>
  <c r="K40" l="1"/>
  <c r="L82"/>
  <c r="O82"/>
  <c r="N82"/>
  <c r="O121"/>
  <c r="L121"/>
  <c r="N121"/>
  <c r="L78"/>
  <c r="O78"/>
  <c r="N78"/>
  <c r="O60"/>
  <c r="N60"/>
  <c r="L40"/>
  <c r="O40"/>
  <c r="N40"/>
  <c r="K121"/>
  <c r="L34"/>
  <c r="O34"/>
  <c r="N34"/>
  <c r="L36"/>
  <c r="O36"/>
  <c r="N36"/>
  <c r="O115"/>
  <c r="N115"/>
  <c r="K34"/>
  <c r="K82"/>
  <c r="K115"/>
  <c r="L60"/>
  <c r="K60"/>
  <c r="J77"/>
  <c r="C29"/>
  <c r="C77"/>
  <c r="J29"/>
  <c r="J7" s="1"/>
  <c r="L7" l="1"/>
  <c r="C7"/>
  <c r="K29"/>
  <c r="K77"/>
  <c r="L29"/>
  <c r="O29"/>
  <c r="N29"/>
  <c r="L77"/>
  <c r="O77"/>
  <c r="N77"/>
  <c r="N7" l="1"/>
  <c r="K7"/>
  <c r="O7"/>
</calcChain>
</file>

<file path=xl/sharedStrings.xml><?xml version="1.0" encoding="utf-8"?>
<sst xmlns="http://schemas.openxmlformats.org/spreadsheetml/2006/main" count="209" uniqueCount="121">
  <si>
    <t>02</t>
  </si>
  <si>
    <t>03</t>
  </si>
  <si>
    <t>04</t>
  </si>
  <si>
    <t>06</t>
  </si>
  <si>
    <t>Наименование</t>
  </si>
  <si>
    <t>Целевая статья</t>
  </si>
  <si>
    <t>в том числе:</t>
  </si>
  <si>
    <t>в том числе средства местного бюджета</t>
  </si>
  <si>
    <t>средства местного бюджета</t>
  </si>
  <si>
    <t>средства краевого бюджета</t>
  </si>
  <si>
    <t>средства федерального бюджета</t>
  </si>
  <si>
    <t>Подпрограмма "Дошкольное образование"</t>
  </si>
  <si>
    <t>00 0 0000</t>
  </si>
  <si>
    <t>Отдельные мероприятия программы</t>
  </si>
  <si>
    <t>Подпрограмма "Дорожная деятельность Партизанского городского округа"</t>
  </si>
  <si>
    <t>Подпрограмма "Благоустройство Партизанского городского округа"</t>
  </si>
  <si>
    <t>Подпрограмма "Общее образование"</t>
  </si>
  <si>
    <t>Подпрограмма "Развитие муниципальной службы в Партизанском городском округе"</t>
  </si>
  <si>
    <t>Подпрограмма "Противодействие коррупции в Партизанском городском округе"</t>
  </si>
  <si>
    <t>Подпрограмма "Обеспечение первичных мер пожарной безопасности на территории Партизанского городского округа"</t>
  </si>
  <si>
    <t>Подпрограмма "Дополнительное образование"</t>
  </si>
  <si>
    <t>ВСЕГО</t>
  </si>
  <si>
    <t>99 9 00 00000</t>
  </si>
  <si>
    <t>Подпрограмма "Организация предоставления дополнительного образования в сфере культуры и искусства"</t>
  </si>
  <si>
    <t>Подпрограмма "Организация библиотечного обслуживания населения"</t>
  </si>
  <si>
    <t>Подпрограмма "Организация досуга и предоставление услуг учреждений культуры"</t>
  </si>
  <si>
    <t>Подпрограмма "Сохранение и популяризация объектов культурного наследия Партизанского городского округа"</t>
  </si>
  <si>
    <t>16 0 0000</t>
  </si>
  <si>
    <t>16 1 0000</t>
  </si>
  <si>
    <t>16 2 0000</t>
  </si>
  <si>
    <t>16 9 0000</t>
  </si>
  <si>
    <t>МУНИЦИПАЛЬНАЯ ПРОГРАММА "ДОРОЖНАЯ ДЕЯТЕЛЬНОСТЬ И БЛАГОУСТРОЙСТВО ПАРТИЗАНСКОГО ГОРОДСКОГО ОКРУГА" НА 2017-2021 ГОДЫ</t>
  </si>
  <si>
    <t>15 0 0000</t>
  </si>
  <si>
    <t>15 1 0000</t>
  </si>
  <si>
    <t>15 2 0000</t>
  </si>
  <si>
    <t>15 3 0000</t>
  </si>
  <si>
    <t>15 9 0000</t>
  </si>
  <si>
    <t>14 0 0000</t>
  </si>
  <si>
    <t>14 1 0000</t>
  </si>
  <si>
    <t>14 2 0000</t>
  </si>
  <si>
    <t>14 3 0000</t>
  </si>
  <si>
    <t>14 9 0000</t>
  </si>
  <si>
    <t>14 4 0000</t>
  </si>
  <si>
    <t>11 0 0000</t>
  </si>
  <si>
    <t>11 1 0000</t>
  </si>
  <si>
    <t>11 2 0000</t>
  </si>
  <si>
    <t>12 0 0000</t>
  </si>
  <si>
    <t>13 0 0000</t>
  </si>
  <si>
    <t>МУНИЦИПАЛЬНАЯ ПРОГРАММА "ОБЕСПЕЧЕНИЕ ЖИЛЬЕМ МОЛОДЫХ СЕМЕЙ ПАРТИЗАНСКОГО ГОРОДСКОГО ОКРУГА" НА 2017-2020 ГОДЫ</t>
  </si>
  <si>
    <t>17 0 0000</t>
  </si>
  <si>
    <t>МУНИЦИПАЛЬНАЯ ПРОГРАММА "РАЗВИТИЕ ИНФОРМАЦИОННО-КОММУНИКАЦИОННЫХ ТЕХНОЛОГИЙ ОРГАНОВ МЕСТНОГО САМОУПРАВЛЕНИЯ ПАРТИЗАНСКОГО ГОРОДСКОГО ОКРУГА" НА 2017-2021 ГОДЫ</t>
  </si>
  <si>
    <t>19 0 0000</t>
  </si>
  <si>
    <t>МУНИЦИПАЛЬНАЯ ПРОГРАММА "ОБЕСПЕЧЕНИЕ ГРАДОСТРОИТЕЛЬНОЙ ДЕЯТЕЛЬНОСТИ НА ТЕРРИТОРИИ ПАРТИЗАНСКОГО ГОРОДСКОГО ОКРУГА" НА 2017-2020 ГОДЫ</t>
  </si>
  <si>
    <t>20 0 0000</t>
  </si>
  <si>
    <t>МУНИЦИПАЛЬНАЯ ПРОГРАММА "ОБЕСПЕЧЕНИЕ БЛАГОПРИЯТНОЙ ОКРУЖАЮЩЕЙ СРЕДЫ И ЭКОЛОГИЧЕСКОЙ БЕЗОПАСНОСТИ НА ТЕРРИТОРИИ ПАРТИЗАНСКОГО ГОРОДСКОГО ОКРУГА" НА 2017-2021 ГОДЫ</t>
  </si>
  <si>
    <t>МУНИЦИПАЛЬНАЯ ПРОГРАММА "КУЛЬТУРА ПАРТИЗАНСКОГО ГОРОДСКОГО ОКРУГА" НА 2017-2021 гг.</t>
  </si>
  <si>
    <t>МУНИЦИПАЛЬНАЯ ПРОГРАММА "СОДЕЙСТВИЕ РАЗВИТИЮ МАЛОГО И СРЕДНЕГО ПРЕДПРИНИМАТЕЛЬСТВА В ПАРТИЗАНСКОМ ГОРОДСКОМ ОКРУГЕ" НА 2018 – 2022 ГОДЫ</t>
  </si>
  <si>
    <t>22 0 0000</t>
  </si>
  <si>
    <t>в том числе  средства местного бюджета</t>
  </si>
  <si>
    <t>МУНИЦИПАЛЬНАЯ ПРОГРАММА "РАЗВИТИЕ ФИЗИЧЕСКОЙ КУЛЬТУРЫ И СПОРТА ПАРТИЗАНСКОГО ГОРОДСКОГО ОКРУГА" НА 2018 – 2022 ГОДЫ</t>
  </si>
  <si>
    <t>23 0 00</t>
  </si>
  <si>
    <t>24 0 00</t>
  </si>
  <si>
    <t>23 1 00</t>
  </si>
  <si>
    <t>23 2 00</t>
  </si>
  <si>
    <t>МУНИЦИПАЛЬНАЯ ПРОГРАММА "ПОВЫШЕНИЕ ЭФФЕКТИВНОСТИ ДЕЯТЕЛЬНОСТИ ОРГАНОВ МЕСТНОГО САМОУПРАВЛЕНИЯ ПАРТИЗАНСКОГО ГОРОДСКОГО ОКРУГА" НА 2019-2023 ГГ.</t>
  </si>
  <si>
    <t>26 1 00</t>
  </si>
  <si>
    <t>26 2 00</t>
  </si>
  <si>
    <t>МУНИЦИПАЛЬНАЯ ПРОГРАММА "УПРАВЛЕНИЕ МУНИЦИПАЛЬНЫМ ИМУЩЕСТВОМ И ЗЕМЕЛЬНЫМИ РЕСУРСАМИ ПАРТИЗАНСКОГО ГОРОДСКОГО ОКРУГА НА  2019-2023 ГОДЫ</t>
  </si>
  <si>
    <t>ВЕДОМСТВЕННАЯ ЦЕЛЕВАЯ ПРОГРАММА "РЕАЛИЗАЦИЯ МОЛОДЕЖНОЙ ПОЛИТИКИ В ПАРТИЗАНСКОМ ГОРОДСКОМ ОКРУГЕ" НА 2019 - 2021 ГОДЫ</t>
  </si>
  <si>
    <t>МУНИЦИПАЛЬНАЯ ПРОГРАММА "ФОРМИРОВАНИЕ СОВРЕМЕННОЙ ГОРОДСКОЙ СРЕДЫ ПАРТИЗАНСКОГО ГОРОДСКОГО ОКРУГА" НА 2018 – 2024 ГОДЫ</t>
  </si>
  <si>
    <t>23 3</t>
  </si>
  <si>
    <t>Подпрограмма "Благоустройство дворовых территорий Партизанского городского округа" на 2018 – 2024 годы</t>
  </si>
  <si>
    <t>Подпрограмма "Благоустройство территорий общественного пользования Партизанского городского округа" на 2018 – 2024 годы</t>
  </si>
  <si>
    <t>Подпрограмма "Благоустройство территорий, детских и спортивных площадок Партизанского городского округа" на 2019-2024</t>
  </si>
  <si>
    <t>МУНИЦИПАЛЬНАЯ ПРОГРАММА "СОДЕЙСТВИЕ ГРАЖДАНАМ В ПРИОБРЕТЕНИИ (СТРОИТЕЛЬСТВЕ) ЖИЛЬЯ ВЗАМЕН СНОСИМОГО ВЕТХОГО, СТАВШЕГО НЕПРИГОДНЫМ ДЛЯ ПРОЖИВАНИЯ ПО КРИТЕРИЯМ БЕЗОПАСНОСТИ В РЕЗУЛЬТАТЕ ВЕДЕНИЯ ГОРНЫХ РАБОТ НА ЛИКВИДИРОВАННЫХ УГОЛЬНЫХ ШАХТАХ ПАРТИЗАНСКОГО ГОРОДСКОГО ОКРУГА" НА 2020-2025 ГОДЫ</t>
  </si>
  <si>
    <t xml:space="preserve">01 </t>
  </si>
  <si>
    <t>в том числе средства краевого бюджета</t>
  </si>
  <si>
    <t>МУНИЦИПАЛЬНАЯ 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НА 2020 – 2025 ГОДЫ</t>
  </si>
  <si>
    <t>МУНИЦИПАЛЬНАЯ ПРОГРАММА "ФОРМИРОВАНИЕ МУНИЦИПАЛЬНОГО ЖИЛИЩНОГО ФОНДА ПАРТИЗАНСКОГО ГОРОДСКОГО ОКРУГА" НА 2020-2025 ГОДЫ</t>
  </si>
  <si>
    <t>МУНИЦИПАЛЬНАЯ ПРОГРАММА "ПЕРЕСЕЛЕНИЕ ГРАЖДАН ИЗ АВАРИЙНОГО ЖИЛИЩНОГО ФОНДА, ПРОЖИВАЮЩИХ НА ТЕРРИТОРИИ ПАРТИЗАНСКОГО ГОРОДСКОГО ОКРУГА" НА 2019-2025 ГОДЫ</t>
  </si>
  <si>
    <t>МУНИЦИПАЛЬНАЯ ПРОГРАММА "ОРГАНИЗАЦИЯ ОБЕСПЕЧЕНИЯ НАСЕЛЕНИЯ ТВЕРДЫМ ТОПЛИВОМ ПО ПРЕДЕЛЬНЫМ ЦЕНАМ НА ТЕРРИТОРИИ ПАРТИЗАНСКОГО ГОРОДСКОГО ОКРУГА" НА 2020-2024 ГОДЫ</t>
  </si>
  <si>
    <t>МУНИЦИПАЛЬНАЯ ПРОГРАММА "РАЗВИТИЕ И ПОВЫШЕНИЕ ЭФФЕКТИВНОСТИ КОММУНАЛЬНОЙ ИНФРАСТРУКТУРЫ ПАРТИЗАНСКОГО ГОРОДСКОГО ОКРУГА" НА 2020-2024 ГОДЫ</t>
  </si>
  <si>
    <t>МУНИЦИПАЛЬНАЯ ПРОГРАММА "ЗАЩИТА НАСЕЛЕНИЯ И ТЕРРИТОРИИ ПАРТИЗАНСКОГО ГОРОДСКОГО ОКРУГА ОТ ЧРЕЗВЫЧАЙНЫХ СИТУАЦИЙ" НА 2020-2024 ГОДЫ</t>
  </si>
  <si>
    <t>Подпрограмма "Обеспечение организации гражданской обороны, предупреждение и ликвидация последствий чрезвычайных ситуаций природного и техногенного характера на территории Партизанского городского округа"</t>
  </si>
  <si>
    <t>МУНИЦИПАЛЬНАЯ ПРОГРАММА "ПРОФИЛАКТИКА ТЕРРОРИЗМА И ЭКСТРЕМИЗМА НА ТЕРРИТОРИИ ПАРТИЗАНСКОГО ГОРОДСКОГО ОКРУГА" НА 2020-2024 ГОДЫ</t>
  </si>
  <si>
    <t>МУНИЦИПАЛЬНАЯ ПРОГРАММА "ОБРАЗОВАНИЕ ПАРТИЗАНСКОГО ГОРОДСКОГО ОКРУГА" НА 2020-2024 гг.</t>
  </si>
  <si>
    <t xml:space="preserve">25 0 00 </t>
  </si>
  <si>
    <t>26 0 00</t>
  </si>
  <si>
    <t xml:space="preserve">05 </t>
  </si>
  <si>
    <t>Изменения 
2020</t>
  </si>
  <si>
    <t>2020 
182-Р от 31.01.2020</t>
  </si>
  <si>
    <t xml:space="preserve">средства Фонда содействия реформированию жилищно-коммунального хозяйства
</t>
  </si>
  <si>
    <t>2020 
196-Р 14.05.2020</t>
  </si>
  <si>
    <t>Изменения 
2020 дек</t>
  </si>
  <si>
    <t>Сравнение  первоначального плана и исполнения</t>
  </si>
  <si>
    <t>Сравнение  уточненного плана и исполнения</t>
  </si>
  <si>
    <t>Сумма</t>
  </si>
  <si>
    <t>%</t>
  </si>
  <si>
    <t>--</t>
  </si>
  <si>
    <t xml:space="preserve">увеличение расходов за счет выделения иных межбюджетных трансфертов из федерального  бюджета на ликвидацию жилого фонда, ставшего непригодным для проживания в результате ведения горных работ </t>
  </si>
  <si>
    <t xml:space="preserve">расходы исполнены в пределах поступивших из  краевого бюджета субвенций, обеспечивающих оплату приобретенных в специализированный муниципальный жилой фонд 28 жилых помещений по результатам проведенных аукционов и  взносов на капитальный ремонт за специализированный жилой фонд. </t>
  </si>
  <si>
    <t xml:space="preserve">увеличение расходов за счет выделения межбюджетных субсидий из краевого бюджета на переселение граждан из аварийного жилищного фонда </t>
  </si>
  <si>
    <t>увеличение расходов за счет выделения межбюджетных субсидий из краевого бюджета на обеспечение граждан твердым топливом</t>
  </si>
  <si>
    <t xml:space="preserve">экономия по результатам аукционов на  проектирование строительства водозабора «Северный» на реке Партизанская для водоснабжения села Углекаменск </t>
  </si>
  <si>
    <t>экономия по результатам аукциона на проведение проектно-изыскательских работ по объекту «Реконструкция гидротехнического сооружения – защитной дамбы по левому берегу р.Постышевка»</t>
  </si>
  <si>
    <t xml:space="preserve">экономия по результатам аукциона на производство лесоустройства городских лесов и разработку лесохозяйственного регламента Партизанского городского округа </t>
  </si>
  <si>
    <t>уменьшение расходов за счет  сокращения субвенций из краевого бюджета на реализацию общеобразовательных программ</t>
  </si>
  <si>
    <t xml:space="preserve">увеличение расходов в целях оказания социальной поддержки членов добровольных народных дружин </t>
  </si>
  <si>
    <t>увеличение расходов за счет выделения средств из дорожного фонда Приморского края  на ремонт автомобильных дорог</t>
  </si>
  <si>
    <t>увеличение расходов за счет выделения межбюджетных субсидий из федерального бюджета на условиях софинансирования</t>
  </si>
  <si>
    <t>экономия по результатам конкурсных процедур</t>
  </si>
  <si>
    <t xml:space="preserve">увеличение расходов за счет выделения межбюджетных субсидий из вышестоящих бюджетов на создание комфортной городской среды </t>
  </si>
  <si>
    <t xml:space="preserve">увеличение расходов за счет перевода МБУ «Спортивная школа  «Сучан»  из учреждения дополнительного образования в учреждение спорта  </t>
  </si>
  <si>
    <t>сокращение расходов  в связи с  проведением запланированных семинаров в дистанционном виде в период пандемии, что привело к уменьшению стоимости услуг обучения.</t>
  </si>
  <si>
    <t xml:space="preserve">увеличение расходов на приобретение жилых помещений в муниципальную собственность для дальнейшего предоставления нуждающимся гражданам. </t>
  </si>
  <si>
    <t>Первоначально утвержденный план, решение Думы ПГО  
№ 169-Р 10.12.2019</t>
  </si>
  <si>
    <t>Уточненный план в редакции решения Думы ПГО  о внесении изменений в бюджет
№ 200-Р 29.12.2020</t>
  </si>
  <si>
    <t>Пояснение различий между первоначально утвержденным планом и исполнением</t>
  </si>
  <si>
    <t>Сведения о фактически произведенных расходах Партизанского городского округа в 2020 году на реализацию муниципальных программ</t>
  </si>
  <si>
    <t>Исполнение</t>
  </si>
  <si>
    <t>(рублей)</t>
  </si>
</sst>
</file>

<file path=xl/styles.xml><?xml version="1.0" encoding="utf-8"?>
<styleSheet xmlns="http://schemas.openxmlformats.org/spreadsheetml/2006/main">
  <fonts count="29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3" applyNumberFormat="0" applyAlignment="0" applyProtection="0"/>
    <xf numFmtId="0" fontId="9" fillId="28" borderId="4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3" applyNumberFormat="0" applyAlignment="0" applyProtection="0"/>
    <xf numFmtId="0" fontId="16" fillId="0" borderId="8" applyNumberFormat="0" applyFill="0" applyAlignment="0" applyProtection="0"/>
    <xf numFmtId="0" fontId="17" fillId="31" borderId="0" applyNumberFormat="0" applyBorder="0" applyAlignment="0" applyProtection="0"/>
    <xf numFmtId="0" fontId="5" fillId="32" borderId="9" applyNumberFormat="0" applyFont="0" applyAlignment="0" applyProtection="0"/>
    <xf numFmtId="0" fontId="18" fillId="27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Fill="1"/>
    <xf numFmtId="49" fontId="1" fillId="33" borderId="0" xfId="0" applyNumberFormat="1" applyFont="1" applyFill="1"/>
    <xf numFmtId="0" fontId="1" fillId="0" borderId="1" xfId="0" applyFont="1" applyFill="1" applyBorder="1" applyAlignment="1">
      <alignment wrapText="1"/>
    </xf>
    <xf numFmtId="0" fontId="3" fillId="0" borderId="0" xfId="0" applyFont="1" applyFill="1"/>
    <xf numFmtId="0" fontId="2" fillId="0" borderId="1" xfId="0" applyFont="1" applyFill="1" applyBorder="1" applyAlignment="1">
      <alignment wrapText="1"/>
    </xf>
    <xf numFmtId="49" fontId="2" fillId="33" borderId="2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0" fontId="4" fillId="0" borderId="0" xfId="0" applyFont="1" applyFill="1"/>
    <xf numFmtId="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49" fontId="3" fillId="33" borderId="0" xfId="0" applyNumberFormat="1" applyFont="1" applyFill="1"/>
    <xf numFmtId="49" fontId="1" fillId="33" borderId="1" xfId="0" applyNumberFormat="1" applyFont="1" applyFill="1" applyBorder="1" applyAlignment="1">
      <alignment horizontal="center" wrapText="1"/>
    </xf>
    <xf numFmtId="4" fontId="23" fillId="0" borderId="1" xfId="0" applyNumberFormat="1" applyFont="1" applyFill="1" applyBorder="1" applyAlignment="1">
      <alignment horizontal="center" wrapText="1"/>
    </xf>
    <xf numFmtId="49" fontId="22" fillId="33" borderId="1" xfId="0" applyNumberFormat="1" applyFont="1" applyFill="1" applyBorder="1" applyAlignment="1">
      <alignment horizontal="center" wrapText="1"/>
    </xf>
    <xf numFmtId="4" fontId="1" fillId="35" borderId="1" xfId="0" applyNumberFormat="1" applyFont="1" applyFill="1" applyBorder="1" applyAlignment="1">
      <alignment horizontal="center" wrapText="1"/>
    </xf>
    <xf numFmtId="0" fontId="1" fillId="35" borderId="0" xfId="0" applyFont="1" applyFill="1"/>
    <xf numFmtId="4" fontId="23" fillId="35" borderId="1" xfId="0" applyNumberFormat="1" applyFont="1" applyFill="1" applyBorder="1" applyAlignment="1">
      <alignment horizontal="center" wrapText="1"/>
    </xf>
    <xf numFmtId="0" fontId="3" fillId="35" borderId="0" xfId="0" applyFont="1" applyFill="1"/>
    <xf numFmtId="10" fontId="1" fillId="0" borderId="0" xfId="42" applyNumberFormat="1" applyFont="1" applyFill="1"/>
    <xf numFmtId="10" fontId="1" fillId="0" borderId="1" xfId="42" applyNumberFormat="1" applyFont="1" applyFill="1" applyBorder="1" applyAlignment="1">
      <alignment horizontal="center" wrapText="1"/>
    </xf>
    <xf numFmtId="10" fontId="2" fillId="0" borderId="1" xfId="42" applyNumberFormat="1" applyFont="1" applyFill="1" applyBorder="1" applyAlignment="1">
      <alignment horizontal="center" wrapText="1"/>
    </xf>
    <xf numFmtId="10" fontId="23" fillId="0" borderId="1" xfId="42" applyNumberFormat="1" applyFont="1" applyFill="1" applyBorder="1" applyAlignment="1">
      <alignment horizontal="center" wrapText="1"/>
    </xf>
    <xf numFmtId="10" fontId="3" fillId="0" borderId="0" xfId="42" applyNumberFormat="1" applyFont="1" applyFill="1"/>
    <xf numFmtId="10" fontId="1" fillId="0" borderId="1" xfId="42" quotePrefix="1" applyNumberFormat="1" applyFont="1" applyFill="1" applyBorder="1" applyAlignment="1">
      <alignment horizontal="center" wrapText="1"/>
    </xf>
    <xf numFmtId="10" fontId="25" fillId="0" borderId="1" xfId="42" applyNumberFormat="1" applyFont="1" applyBorder="1" applyAlignment="1">
      <alignment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0" fontId="25" fillId="0" borderId="1" xfId="42" applyNumberFormat="1" applyFont="1" applyBorder="1" applyAlignment="1">
      <alignment horizontal="center" wrapText="1"/>
    </xf>
    <xf numFmtId="0" fontId="25" fillId="0" borderId="0" xfId="0" applyFont="1" applyAlignment="1">
      <alignment wrapText="1"/>
    </xf>
    <xf numFmtId="0" fontId="26" fillId="0" borderId="0" xfId="0" applyFont="1" applyFill="1" applyAlignment="1">
      <alignment horizontal="center" wrapText="1"/>
    </xf>
    <xf numFmtId="0" fontId="27" fillId="0" borderId="1" xfId="0" applyFont="1" applyBorder="1" applyAlignment="1">
      <alignment horizontal="justify" wrapText="1"/>
    </xf>
    <xf numFmtId="49" fontId="22" fillId="34" borderId="1" xfId="0" applyNumberFormat="1" applyFont="1" applyFill="1" applyBorder="1" applyAlignment="1">
      <alignment horizontal="center" wrapText="1"/>
    </xf>
    <xf numFmtId="0" fontId="28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justify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9" fontId="1" fillId="33" borderId="2" xfId="0" applyNumberFormat="1" applyFont="1" applyFill="1" applyBorder="1" applyAlignment="1">
      <alignment horizontal="center" vertical="center" wrapText="1"/>
    </xf>
    <xf numFmtId="49" fontId="1" fillId="35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14" xfId="0" applyFont="1" applyFill="1" applyBorder="1" applyAlignment="1">
      <alignment horizontal="center" vertical="center" wrapText="1"/>
    </xf>
    <xf numFmtId="10" fontId="1" fillId="0" borderId="1" xfId="42" applyNumberFormat="1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Процентный" xfId="4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O127"/>
  <sheetViews>
    <sheetView tabSelected="1" zoomScale="70" zoomScaleNormal="7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N5" sqref="N5:O5"/>
    </sheetView>
  </sheetViews>
  <sheetFormatPr defaultRowHeight="15"/>
  <cols>
    <col min="1" max="1" width="63.42578125" style="4" customWidth="1"/>
    <col min="2" max="2" width="11.28515625" style="11" hidden="1" customWidth="1"/>
    <col min="3" max="3" width="21.5703125" style="4" customWidth="1"/>
    <col min="4" max="4" width="18.7109375" style="18" hidden="1" customWidth="1"/>
    <col min="5" max="5" width="18.7109375" style="4" hidden="1" customWidth="1"/>
    <col min="6" max="6" width="18.7109375" style="18" hidden="1" customWidth="1"/>
    <col min="7" max="7" width="18.7109375" style="4" hidden="1" customWidth="1"/>
    <col min="8" max="8" width="17.28515625" style="18" hidden="1" customWidth="1"/>
    <col min="9" max="9" width="24" style="4" customWidth="1"/>
    <col min="10" max="11" width="18.7109375" style="4" customWidth="1"/>
    <col min="12" max="12" width="18.7109375" style="23" customWidth="1"/>
    <col min="13" max="13" width="32.140625" style="4" customWidth="1"/>
    <col min="14" max="14" width="18.7109375" style="4" customWidth="1"/>
    <col min="15" max="15" width="18.7109375" style="23" customWidth="1"/>
    <col min="16" max="16384" width="9.140625" style="4"/>
  </cols>
  <sheetData>
    <row r="1" spans="1:15" s="1" customFormat="1" ht="25.5" customHeight="1">
      <c r="A1" s="31" t="s">
        <v>118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15.75" hidden="1">
      <c r="B2" s="2"/>
      <c r="D2" s="16"/>
      <c r="F2" s="16"/>
      <c r="H2" s="16"/>
      <c r="K2" s="1" t="s">
        <v>96</v>
      </c>
      <c r="L2" s="19" t="s">
        <v>97</v>
      </c>
      <c r="N2" s="1" t="s">
        <v>96</v>
      </c>
      <c r="O2" s="19" t="s">
        <v>97</v>
      </c>
    </row>
    <row r="3" spans="1:15" s="1" customFormat="1" ht="15.75" hidden="1">
      <c r="B3" s="2"/>
      <c r="D3" s="16"/>
      <c r="F3" s="16"/>
      <c r="H3" s="16"/>
      <c r="L3" s="19"/>
      <c r="O3" s="19"/>
    </row>
    <row r="4" spans="1:15" s="1" customFormat="1" ht="15.75">
      <c r="B4" s="2"/>
      <c r="D4" s="16"/>
      <c r="F4" s="16"/>
      <c r="H4" s="16"/>
      <c r="L4" s="19"/>
      <c r="O4" s="19" t="s">
        <v>120</v>
      </c>
    </row>
    <row r="5" spans="1:15" s="45" customFormat="1" ht="57" customHeight="1">
      <c r="A5" s="39" t="s">
        <v>4</v>
      </c>
      <c r="B5" s="40" t="s">
        <v>5</v>
      </c>
      <c r="C5" s="37" t="s">
        <v>115</v>
      </c>
      <c r="D5" s="41" t="s">
        <v>89</v>
      </c>
      <c r="E5" s="42" t="s">
        <v>90</v>
      </c>
      <c r="F5" s="41" t="s">
        <v>89</v>
      </c>
      <c r="G5" s="42" t="s">
        <v>92</v>
      </c>
      <c r="H5" s="41" t="s">
        <v>93</v>
      </c>
      <c r="I5" s="37" t="s">
        <v>116</v>
      </c>
      <c r="J5" s="37" t="s">
        <v>119</v>
      </c>
      <c r="K5" s="43" t="s">
        <v>94</v>
      </c>
      <c r="L5" s="44"/>
      <c r="M5" s="37" t="s">
        <v>117</v>
      </c>
      <c r="N5" s="43" t="s">
        <v>95</v>
      </c>
      <c r="O5" s="44"/>
    </row>
    <row r="6" spans="1:15" s="45" customFormat="1" ht="49.5" customHeight="1">
      <c r="A6" s="46"/>
      <c r="B6" s="40"/>
      <c r="C6" s="38"/>
      <c r="D6" s="41"/>
      <c r="E6" s="42"/>
      <c r="F6" s="41"/>
      <c r="G6" s="42"/>
      <c r="H6" s="41"/>
      <c r="I6" s="38"/>
      <c r="J6" s="38"/>
      <c r="K6" s="42" t="s">
        <v>96</v>
      </c>
      <c r="L6" s="47" t="s">
        <v>97</v>
      </c>
      <c r="M6" s="38"/>
      <c r="N6" s="42" t="s">
        <v>96</v>
      </c>
      <c r="O6" s="47" t="s">
        <v>97</v>
      </c>
    </row>
    <row r="7" spans="1:15" s="8" customFormat="1" ht="15.75">
      <c r="A7" s="5" t="s">
        <v>21</v>
      </c>
      <c r="B7" s="6" t="s">
        <v>12</v>
      </c>
      <c r="C7" s="7">
        <f>C8+C12+C14+C16+C21+C25+C29+C36+C38+C40+C60+C77+C86+C91+C93+C95+C100+C115+C119+C121+C126</f>
        <v>950553010.09000003</v>
      </c>
      <c r="D7" s="7">
        <f t="shared" ref="D7:N7" si="0">D8+D12+D14+D16+D21+D25+D29+D36+D38+D40+D60+D77+D86+D91+D93+D95+D100+D115+D119+D121+D126</f>
        <v>30272487.640000008</v>
      </c>
      <c r="E7" s="7">
        <f t="shared" si="0"/>
        <v>980825497.73000002</v>
      </c>
      <c r="F7" s="7">
        <f t="shared" si="0"/>
        <v>170316870.88000003</v>
      </c>
      <c r="G7" s="7">
        <f t="shared" si="0"/>
        <v>1151142368.6099999</v>
      </c>
      <c r="H7" s="7">
        <f t="shared" si="0"/>
        <v>20335558.169999994</v>
      </c>
      <c r="I7" s="7">
        <f t="shared" si="0"/>
        <v>1171477926.78</v>
      </c>
      <c r="J7" s="7">
        <f t="shared" si="0"/>
        <v>1144239759.8900001</v>
      </c>
      <c r="K7" s="7">
        <f t="shared" si="0"/>
        <v>-193686749.79999992</v>
      </c>
      <c r="L7" s="21">
        <f t="shared" ref="L7:L61" si="1">J7/C7</f>
        <v>1.2037621760638699</v>
      </c>
      <c r="M7" s="7"/>
      <c r="N7" s="7">
        <f t="shared" si="0"/>
        <v>27238166.890000049</v>
      </c>
      <c r="O7" s="21">
        <f>J7/I7</f>
        <v>0.9767488859436998</v>
      </c>
    </row>
    <row r="8" spans="1:15" s="34" customFormat="1" ht="126">
      <c r="A8" s="32" t="s">
        <v>74</v>
      </c>
      <c r="B8" s="33" t="s">
        <v>75</v>
      </c>
      <c r="C8" s="9">
        <f t="shared" ref="C8:J8" si="2">SUM(C10:C11)</f>
        <v>25110300</v>
      </c>
      <c r="D8" s="15">
        <f t="shared" si="2"/>
        <v>150000</v>
      </c>
      <c r="E8" s="9">
        <f t="shared" si="2"/>
        <v>25260300</v>
      </c>
      <c r="F8" s="15">
        <f t="shared" ref="F8:G8" si="3">SUM(F10:F11)</f>
        <v>0</v>
      </c>
      <c r="G8" s="9">
        <f t="shared" si="3"/>
        <v>25260300</v>
      </c>
      <c r="H8" s="15">
        <f t="shared" ref="H8:I8" si="4">SUM(H10:H11)</f>
        <v>16992000</v>
      </c>
      <c r="I8" s="9">
        <f t="shared" si="4"/>
        <v>42252300</v>
      </c>
      <c r="J8" s="9">
        <f t="shared" si="2"/>
        <v>42252289</v>
      </c>
      <c r="K8" s="9">
        <f t="shared" ref="K8:K61" si="5">C8-J8</f>
        <v>-17141989</v>
      </c>
      <c r="L8" s="20">
        <f t="shared" si="1"/>
        <v>1.6826676304146106</v>
      </c>
      <c r="M8" s="25" t="s">
        <v>99</v>
      </c>
      <c r="N8" s="9">
        <f t="shared" ref="N8:N61" si="6">I8-J8</f>
        <v>11</v>
      </c>
      <c r="O8" s="20">
        <f t="shared" ref="O8:O61" si="7">J8/I8</f>
        <v>0.99999973965914279</v>
      </c>
    </row>
    <row r="9" spans="1:15" ht="15.75" hidden="1">
      <c r="A9" s="10" t="s">
        <v>6</v>
      </c>
      <c r="B9" s="12"/>
      <c r="C9" s="9"/>
      <c r="D9" s="15"/>
      <c r="E9" s="9"/>
      <c r="F9" s="15"/>
      <c r="G9" s="9"/>
      <c r="H9" s="15"/>
      <c r="I9" s="9"/>
      <c r="J9" s="9"/>
      <c r="K9" s="9"/>
      <c r="L9" s="20"/>
      <c r="M9" s="9"/>
      <c r="N9" s="9"/>
      <c r="O9" s="20"/>
    </row>
    <row r="10" spans="1:15" ht="15.75" hidden="1">
      <c r="A10" s="3" t="s">
        <v>8</v>
      </c>
      <c r="B10" s="12"/>
      <c r="C10" s="9">
        <f>50000+110000</f>
        <v>160000</v>
      </c>
      <c r="D10" s="15">
        <v>150000</v>
      </c>
      <c r="E10" s="9">
        <f>C10+D10</f>
        <v>310000</v>
      </c>
      <c r="F10" s="15"/>
      <c r="G10" s="9">
        <f>E10+F10</f>
        <v>310000</v>
      </c>
      <c r="H10" s="15">
        <f>200000-200000</f>
        <v>0</v>
      </c>
      <c r="I10" s="9">
        <f>G10+H10</f>
        <v>310000</v>
      </c>
      <c r="J10" s="9">
        <v>310000</v>
      </c>
      <c r="K10" s="9">
        <f t="shared" si="5"/>
        <v>-150000</v>
      </c>
      <c r="L10" s="20">
        <f t="shared" si="1"/>
        <v>1.9375</v>
      </c>
      <c r="M10" s="9"/>
      <c r="N10" s="9">
        <f t="shared" si="6"/>
        <v>0</v>
      </c>
      <c r="O10" s="20">
        <f t="shared" si="7"/>
        <v>1</v>
      </c>
    </row>
    <row r="11" spans="1:15" ht="15.75" hidden="1">
      <c r="A11" s="10" t="s">
        <v>10</v>
      </c>
      <c r="B11" s="12"/>
      <c r="C11" s="9">
        <v>24950300</v>
      </c>
      <c r="D11" s="15"/>
      <c r="E11" s="9">
        <f>C11+D11</f>
        <v>24950300</v>
      </c>
      <c r="F11" s="15"/>
      <c r="G11" s="9">
        <f>E11+F11</f>
        <v>24950300</v>
      </c>
      <c r="H11" s="15">
        <v>16992000</v>
      </c>
      <c r="I11" s="9">
        <f>G11+H11</f>
        <v>41942300</v>
      </c>
      <c r="J11" s="9">
        <v>41942289</v>
      </c>
      <c r="K11" s="9">
        <f t="shared" si="5"/>
        <v>-16991989</v>
      </c>
      <c r="L11" s="20">
        <f t="shared" si="1"/>
        <v>1.6810334545075611</v>
      </c>
      <c r="M11" s="9"/>
      <c r="N11" s="9">
        <f t="shared" si="6"/>
        <v>11</v>
      </c>
      <c r="O11" s="20">
        <f t="shared" si="7"/>
        <v>0.99999973773493589</v>
      </c>
    </row>
    <row r="12" spans="1:15" ht="222" customHeight="1">
      <c r="A12" s="35" t="s">
        <v>77</v>
      </c>
      <c r="B12" s="33" t="s">
        <v>0</v>
      </c>
      <c r="C12" s="9">
        <f t="shared" ref="C12:J12" si="8">C13</f>
        <v>29340662.399999999</v>
      </c>
      <c r="D12" s="15">
        <f t="shared" si="8"/>
        <v>383612.6</v>
      </c>
      <c r="E12" s="9">
        <f t="shared" si="8"/>
        <v>29724275</v>
      </c>
      <c r="F12" s="15">
        <f t="shared" si="8"/>
        <v>457438.53</v>
      </c>
      <c r="G12" s="9">
        <f t="shared" si="8"/>
        <v>30181713.530000001</v>
      </c>
      <c r="H12" s="15">
        <f t="shared" si="8"/>
        <v>6026329.5499999998</v>
      </c>
      <c r="I12" s="9">
        <f t="shared" si="8"/>
        <v>36208043.079999998</v>
      </c>
      <c r="J12" s="9">
        <f t="shared" si="8"/>
        <v>29042359.809999999</v>
      </c>
      <c r="K12" s="9">
        <f t="shared" si="5"/>
        <v>298302.58999999985</v>
      </c>
      <c r="L12" s="20">
        <f t="shared" si="1"/>
        <v>0.98983313376047022</v>
      </c>
      <c r="M12" s="9" t="s">
        <v>100</v>
      </c>
      <c r="N12" s="9">
        <f t="shared" si="6"/>
        <v>7165683.2699999996</v>
      </c>
      <c r="O12" s="20">
        <f t="shared" si="7"/>
        <v>0.8020969193455787</v>
      </c>
    </row>
    <row r="13" spans="1:15" ht="15.75" hidden="1">
      <c r="A13" s="3" t="s">
        <v>76</v>
      </c>
      <c r="B13" s="12"/>
      <c r="C13" s="9">
        <v>29340662.399999999</v>
      </c>
      <c r="D13" s="15">
        <v>383612.6</v>
      </c>
      <c r="E13" s="9">
        <f>C13+D13</f>
        <v>29724275</v>
      </c>
      <c r="F13" s="15">
        <v>457438.53</v>
      </c>
      <c r="G13" s="9">
        <f>E13+F13</f>
        <v>30181713.530000001</v>
      </c>
      <c r="H13" s="15">
        <v>6026329.5499999998</v>
      </c>
      <c r="I13" s="9">
        <f>G13+H13</f>
        <v>36208043.079999998</v>
      </c>
      <c r="J13" s="9">
        <v>29042359.809999999</v>
      </c>
      <c r="K13" s="9">
        <f t="shared" si="5"/>
        <v>298302.58999999985</v>
      </c>
      <c r="L13" s="20">
        <f t="shared" si="1"/>
        <v>0.98983313376047022</v>
      </c>
      <c r="M13" s="9"/>
      <c r="N13" s="9">
        <f t="shared" si="6"/>
        <v>7165683.2699999996</v>
      </c>
      <c r="O13" s="20">
        <f t="shared" si="7"/>
        <v>0.8020969193455787</v>
      </c>
    </row>
    <row r="14" spans="1:15" ht="111" customHeight="1">
      <c r="A14" s="3" t="s">
        <v>78</v>
      </c>
      <c r="B14" s="33" t="s">
        <v>1</v>
      </c>
      <c r="C14" s="9">
        <f t="shared" ref="C14:J14" si="9">C15</f>
        <v>26540000</v>
      </c>
      <c r="D14" s="15">
        <f t="shared" si="9"/>
        <v>0</v>
      </c>
      <c r="E14" s="9">
        <f t="shared" si="9"/>
        <v>26540000</v>
      </c>
      <c r="F14" s="15">
        <f t="shared" si="9"/>
        <v>2530489.7000000002</v>
      </c>
      <c r="G14" s="9">
        <f t="shared" si="9"/>
        <v>29070489.699999999</v>
      </c>
      <c r="H14" s="15">
        <f t="shared" si="9"/>
        <v>0</v>
      </c>
      <c r="I14" s="9">
        <f t="shared" si="9"/>
        <v>29070489.699999999</v>
      </c>
      <c r="J14" s="9">
        <f t="shared" si="9"/>
        <v>28075598.34</v>
      </c>
      <c r="K14" s="9">
        <f t="shared" si="5"/>
        <v>-1535598.3399999999</v>
      </c>
      <c r="L14" s="20">
        <f t="shared" si="1"/>
        <v>1.0578597716654108</v>
      </c>
      <c r="M14" s="26" t="s">
        <v>114</v>
      </c>
      <c r="N14" s="9">
        <f t="shared" si="6"/>
        <v>994891.3599999994</v>
      </c>
      <c r="O14" s="20">
        <f t="shared" si="7"/>
        <v>0.96577658751995499</v>
      </c>
    </row>
    <row r="15" spans="1:15" ht="15.75" hidden="1">
      <c r="A15" s="3" t="s">
        <v>7</v>
      </c>
      <c r="B15" s="12"/>
      <c r="C15" s="9">
        <v>26540000</v>
      </c>
      <c r="D15" s="15"/>
      <c r="E15" s="9">
        <f>C15+D15</f>
        <v>26540000</v>
      </c>
      <c r="F15" s="15">
        <v>2530489.7000000002</v>
      </c>
      <c r="G15" s="9">
        <f>E15+F15</f>
        <v>29070489.699999999</v>
      </c>
      <c r="H15" s="15">
        <v>0</v>
      </c>
      <c r="I15" s="9">
        <f>G15+H15</f>
        <v>29070489.699999999</v>
      </c>
      <c r="J15" s="9">
        <v>28075598.34</v>
      </c>
      <c r="K15" s="9">
        <f t="shared" si="5"/>
        <v>-1535598.3399999999</v>
      </c>
      <c r="L15" s="20">
        <f t="shared" si="1"/>
        <v>1.0578597716654108</v>
      </c>
      <c r="M15" s="9"/>
      <c r="N15" s="9">
        <f t="shared" si="6"/>
        <v>994891.3599999994</v>
      </c>
      <c r="O15" s="20">
        <f t="shared" si="7"/>
        <v>0.96577658751995499</v>
      </c>
    </row>
    <row r="16" spans="1:15" ht="79.5" customHeight="1">
      <c r="A16" s="3" t="s">
        <v>79</v>
      </c>
      <c r="B16" s="33" t="s">
        <v>2</v>
      </c>
      <c r="C16" s="9">
        <f t="shared" ref="C16:J16" si="10">SUM(C18:C20)</f>
        <v>5790976.7700000005</v>
      </c>
      <c r="D16" s="15">
        <f t="shared" si="10"/>
        <v>0</v>
      </c>
      <c r="E16" s="9">
        <f>SUM(E18:E20)</f>
        <v>5790976.7700000005</v>
      </c>
      <c r="F16" s="15">
        <f t="shared" ref="F16:G16" si="11">SUM(F18:F20)</f>
        <v>23493404.220000003</v>
      </c>
      <c r="G16" s="9">
        <f t="shared" si="11"/>
        <v>29284380.990000002</v>
      </c>
      <c r="H16" s="15">
        <f t="shared" ref="H16:I16" si="12">SUM(H18:H20)</f>
        <v>0</v>
      </c>
      <c r="I16" s="9">
        <f t="shared" si="12"/>
        <v>29284380.990000002</v>
      </c>
      <c r="J16" s="9">
        <f t="shared" si="10"/>
        <v>25300298.109999999</v>
      </c>
      <c r="K16" s="9">
        <f t="shared" si="5"/>
        <v>-19509321.34</v>
      </c>
      <c r="L16" s="20">
        <f t="shared" si="1"/>
        <v>4.3689172163610657</v>
      </c>
      <c r="M16" s="9" t="s">
        <v>101</v>
      </c>
      <c r="N16" s="9">
        <f t="shared" si="6"/>
        <v>3984082.8800000027</v>
      </c>
      <c r="O16" s="20">
        <f t="shared" si="7"/>
        <v>0.86395195167825189</v>
      </c>
    </row>
    <row r="17" spans="1:15" ht="15.75" hidden="1">
      <c r="A17" s="3" t="s">
        <v>6</v>
      </c>
      <c r="B17" s="12"/>
      <c r="C17" s="9"/>
      <c r="D17" s="15"/>
      <c r="E17" s="9"/>
      <c r="F17" s="15"/>
      <c r="G17" s="9"/>
      <c r="H17" s="15"/>
      <c r="I17" s="9"/>
      <c r="J17" s="9"/>
      <c r="K17" s="9"/>
      <c r="L17" s="20"/>
      <c r="M17" s="9"/>
      <c r="N17" s="9"/>
      <c r="O17" s="20"/>
    </row>
    <row r="18" spans="1:15" ht="15.75" hidden="1">
      <c r="A18" s="3" t="s">
        <v>8</v>
      </c>
      <c r="B18" s="12"/>
      <c r="C18" s="9">
        <v>23396.65</v>
      </c>
      <c r="D18" s="15"/>
      <c r="E18" s="9">
        <f>C18+D18</f>
        <v>23396.65</v>
      </c>
      <c r="F18" s="15">
        <f>22.45+10500</f>
        <v>10522.45</v>
      </c>
      <c r="G18" s="9">
        <f>E18+F18</f>
        <v>33919.100000000006</v>
      </c>
      <c r="H18" s="15">
        <v>0</v>
      </c>
      <c r="I18" s="9">
        <f>G18+H18</f>
        <v>33919.100000000006</v>
      </c>
      <c r="J18" s="9">
        <f>10500+20231.84</f>
        <v>30731.84</v>
      </c>
      <c r="K18" s="9">
        <f t="shared" si="5"/>
        <v>-7335.1899999999987</v>
      </c>
      <c r="L18" s="20">
        <f t="shared" si="1"/>
        <v>1.3135145416117264</v>
      </c>
      <c r="M18" s="9"/>
      <c r="N18" s="9">
        <f t="shared" si="6"/>
        <v>3187.2600000000057</v>
      </c>
      <c r="O18" s="20">
        <f t="shared" si="7"/>
        <v>0.90603347376551835</v>
      </c>
    </row>
    <row r="19" spans="1:15" ht="15.75" hidden="1">
      <c r="A19" s="3" t="s">
        <v>9</v>
      </c>
      <c r="B19" s="12"/>
      <c r="C19" s="9">
        <v>5767580.1200000001</v>
      </c>
      <c r="D19" s="15"/>
      <c r="E19" s="9">
        <f>C19+D19</f>
        <v>5767580.1200000001</v>
      </c>
      <c r="F19" s="15">
        <v>1865335.83</v>
      </c>
      <c r="G19" s="9">
        <f>E19+F19</f>
        <v>7632915.9500000002</v>
      </c>
      <c r="H19" s="15"/>
      <c r="I19" s="9">
        <f>G19+H19</f>
        <v>7632915.9500000002</v>
      </c>
      <c r="J19" s="9">
        <v>6593050.3799999999</v>
      </c>
      <c r="K19" s="9">
        <f t="shared" si="5"/>
        <v>-825470.25999999978</v>
      </c>
      <c r="L19" s="20">
        <f t="shared" si="1"/>
        <v>1.1431224608631878</v>
      </c>
      <c r="M19" s="9"/>
      <c r="N19" s="9">
        <f t="shared" si="6"/>
        <v>1039865.5700000003</v>
      </c>
      <c r="O19" s="20">
        <f t="shared" si="7"/>
        <v>0.86376562026731074</v>
      </c>
    </row>
    <row r="20" spans="1:15" ht="47.25" hidden="1">
      <c r="A20" s="10" t="s">
        <v>91</v>
      </c>
      <c r="B20" s="12"/>
      <c r="C20" s="9">
        <v>0</v>
      </c>
      <c r="D20" s="15"/>
      <c r="E20" s="9"/>
      <c r="F20" s="15">
        <v>21617545.940000001</v>
      </c>
      <c r="G20" s="9">
        <f>E20+F20</f>
        <v>21617545.940000001</v>
      </c>
      <c r="H20" s="15"/>
      <c r="I20" s="9">
        <f>G20+H20</f>
        <v>21617545.940000001</v>
      </c>
      <c r="J20" s="9">
        <v>18676515.890000001</v>
      </c>
      <c r="K20" s="9">
        <f t="shared" si="5"/>
        <v>-18676515.890000001</v>
      </c>
      <c r="L20" s="20" t="e">
        <f t="shared" si="1"/>
        <v>#DIV/0!</v>
      </c>
      <c r="M20" s="9"/>
      <c r="N20" s="9">
        <f t="shared" si="6"/>
        <v>2941030.0500000007</v>
      </c>
      <c r="O20" s="20">
        <f t="shared" si="7"/>
        <v>0.86395171504837331</v>
      </c>
    </row>
    <row r="21" spans="1:15" ht="89.25" customHeight="1">
      <c r="A21" s="3" t="s">
        <v>80</v>
      </c>
      <c r="B21" s="33" t="s">
        <v>88</v>
      </c>
      <c r="C21" s="9">
        <f t="shared" ref="C21:D21" si="13">C23</f>
        <v>70917.53</v>
      </c>
      <c r="D21" s="15">
        <f t="shared" si="13"/>
        <v>0</v>
      </c>
      <c r="E21" s="9">
        <f>SUM(E23:E24)</f>
        <v>70917.53</v>
      </c>
      <c r="F21" s="9">
        <f t="shared" ref="F21:J21" si="14">SUM(F23:F24)</f>
        <v>248249.85</v>
      </c>
      <c r="G21" s="9">
        <f t="shared" si="14"/>
        <v>319167.38</v>
      </c>
      <c r="H21" s="15">
        <f t="shared" ref="H21:I21" si="15">SUM(H23:H24)</f>
        <v>2044750.15</v>
      </c>
      <c r="I21" s="9">
        <f t="shared" si="15"/>
        <v>2363917.5299999998</v>
      </c>
      <c r="J21" s="9">
        <f t="shared" si="14"/>
        <v>1127010.28</v>
      </c>
      <c r="K21" s="9">
        <f t="shared" si="5"/>
        <v>-1056092.75</v>
      </c>
      <c r="L21" s="20">
        <f t="shared" si="1"/>
        <v>15.891843384844341</v>
      </c>
      <c r="M21" s="9" t="s">
        <v>102</v>
      </c>
      <c r="N21" s="9">
        <f t="shared" si="6"/>
        <v>1236907.2499999998</v>
      </c>
      <c r="O21" s="20">
        <f t="shared" si="7"/>
        <v>0.4767553291082875</v>
      </c>
    </row>
    <row r="22" spans="1:15" ht="36.75" hidden="1" customHeight="1">
      <c r="A22" s="3" t="s">
        <v>6</v>
      </c>
      <c r="B22" s="33"/>
      <c r="C22" s="9"/>
      <c r="D22" s="15"/>
      <c r="E22" s="9"/>
      <c r="F22" s="15"/>
      <c r="G22" s="9"/>
      <c r="H22" s="15"/>
      <c r="I22" s="9"/>
      <c r="J22" s="9"/>
      <c r="K22" s="9"/>
      <c r="L22" s="20"/>
      <c r="M22" s="9"/>
      <c r="N22" s="9"/>
      <c r="O22" s="20"/>
    </row>
    <row r="23" spans="1:15" ht="15.75" hidden="1">
      <c r="A23" s="3" t="s">
        <v>8</v>
      </c>
      <c r="B23" s="12"/>
      <c r="C23" s="9">
        <v>70917.53</v>
      </c>
      <c r="D23" s="15"/>
      <c r="E23" s="9">
        <f>C23+D23</f>
        <v>70917.53</v>
      </c>
      <c r="F23" s="15"/>
      <c r="G23" s="9">
        <f>E23+F23</f>
        <v>70917.53</v>
      </c>
      <c r="H23" s="15"/>
      <c r="I23" s="9">
        <f>G23+H23</f>
        <v>70917.53</v>
      </c>
      <c r="J23" s="9">
        <v>33810.32</v>
      </c>
      <c r="K23" s="9">
        <f t="shared" si="5"/>
        <v>37107.21</v>
      </c>
      <c r="L23" s="20">
        <f t="shared" si="1"/>
        <v>0.47675546511560685</v>
      </c>
      <c r="M23" s="9"/>
      <c r="N23" s="9">
        <f t="shared" si="6"/>
        <v>37107.21</v>
      </c>
      <c r="O23" s="20">
        <f t="shared" si="7"/>
        <v>0.47675546511560685</v>
      </c>
    </row>
    <row r="24" spans="1:15" ht="15.75" hidden="1">
      <c r="A24" s="3" t="s">
        <v>9</v>
      </c>
      <c r="B24" s="12"/>
      <c r="C24" s="9">
        <v>0</v>
      </c>
      <c r="D24" s="15"/>
      <c r="E24" s="9"/>
      <c r="F24" s="15">
        <v>248249.85</v>
      </c>
      <c r="G24" s="9">
        <f>E24+F24</f>
        <v>248249.85</v>
      </c>
      <c r="H24" s="15">
        <v>2044750.15</v>
      </c>
      <c r="I24" s="9">
        <f>G24+H24</f>
        <v>2293000</v>
      </c>
      <c r="J24" s="9">
        <v>1093199.96</v>
      </c>
      <c r="K24" s="9">
        <f t="shared" si="5"/>
        <v>-1093199.96</v>
      </c>
      <c r="L24" s="24" t="s">
        <v>98</v>
      </c>
      <c r="M24" s="9"/>
      <c r="N24" s="9">
        <f t="shared" si="6"/>
        <v>1199800.04</v>
      </c>
      <c r="O24" s="20">
        <f t="shared" si="7"/>
        <v>0.47675532490187528</v>
      </c>
    </row>
    <row r="25" spans="1:15" ht="126">
      <c r="A25" s="3" t="s">
        <v>81</v>
      </c>
      <c r="B25" s="33" t="s">
        <v>3</v>
      </c>
      <c r="C25" s="9">
        <f t="shared" ref="C25:J25" si="16">SUM(C27:C28)</f>
        <v>9900000</v>
      </c>
      <c r="D25" s="15">
        <f t="shared" si="16"/>
        <v>0</v>
      </c>
      <c r="E25" s="9">
        <f t="shared" si="16"/>
        <v>9900000</v>
      </c>
      <c r="F25" s="15">
        <f t="shared" ref="F25:G25" si="17">SUM(F27:F28)</f>
        <v>1482994.6</v>
      </c>
      <c r="G25" s="9">
        <f t="shared" si="17"/>
        <v>11382994.6</v>
      </c>
      <c r="H25" s="15">
        <f t="shared" ref="H25:I25" si="18">SUM(H27:H28)</f>
        <v>-2059484.55</v>
      </c>
      <c r="I25" s="9">
        <f t="shared" si="18"/>
        <v>9323510.0500000007</v>
      </c>
      <c r="J25" s="9">
        <f t="shared" si="16"/>
        <v>9100769.7799999993</v>
      </c>
      <c r="K25" s="9">
        <f t="shared" si="5"/>
        <v>799230.22000000067</v>
      </c>
      <c r="L25" s="20">
        <f t="shared" si="1"/>
        <v>0.91926967474747467</v>
      </c>
      <c r="M25" s="9" t="s">
        <v>103</v>
      </c>
      <c r="N25" s="9">
        <f t="shared" si="6"/>
        <v>222740.27000000142</v>
      </c>
      <c r="O25" s="20">
        <f t="shared" si="7"/>
        <v>0.97610982679211022</v>
      </c>
    </row>
    <row r="26" spans="1:15" ht="15.75" hidden="1">
      <c r="A26" s="3" t="s">
        <v>6</v>
      </c>
      <c r="B26" s="12"/>
      <c r="C26" s="9"/>
      <c r="D26" s="15"/>
      <c r="E26" s="9"/>
      <c r="F26" s="15"/>
      <c r="G26" s="9"/>
      <c r="H26" s="15"/>
      <c r="I26" s="9"/>
      <c r="J26" s="9"/>
      <c r="K26" s="9"/>
      <c r="L26" s="20"/>
      <c r="M26" s="9"/>
      <c r="N26" s="9"/>
      <c r="O26" s="20"/>
    </row>
    <row r="27" spans="1:15" ht="15.75" hidden="1">
      <c r="A27" s="3" t="s">
        <v>8</v>
      </c>
      <c r="B27" s="12"/>
      <c r="C27" s="9">
        <v>575200</v>
      </c>
      <c r="D27" s="15"/>
      <c r="E27" s="9">
        <f>C27+D27</f>
        <v>575200</v>
      </c>
      <c r="F27" s="15">
        <v>1482994.6</v>
      </c>
      <c r="G27" s="9">
        <f>E27+F27</f>
        <v>2058194.6</v>
      </c>
      <c r="H27" s="15">
        <v>-273884.55</v>
      </c>
      <c r="I27" s="9">
        <f>G27+H27</f>
        <v>1784310.05</v>
      </c>
      <c r="J27" s="9">
        <f>1140515.45+60800+360254.33</f>
        <v>1561569.78</v>
      </c>
      <c r="K27" s="9">
        <f t="shared" si="5"/>
        <v>-986369.78</v>
      </c>
      <c r="L27" s="20">
        <f t="shared" si="1"/>
        <v>2.7148292420027818</v>
      </c>
      <c r="M27" s="9"/>
      <c r="N27" s="9">
        <f t="shared" si="6"/>
        <v>222740.27000000002</v>
      </c>
      <c r="O27" s="20">
        <f t="shared" si="7"/>
        <v>0.87516728384733355</v>
      </c>
    </row>
    <row r="28" spans="1:15" ht="15.75" hidden="1">
      <c r="A28" s="3" t="s">
        <v>9</v>
      </c>
      <c r="B28" s="12"/>
      <c r="C28" s="9">
        <v>9324800</v>
      </c>
      <c r="D28" s="15"/>
      <c r="E28" s="9">
        <f>C28+D28</f>
        <v>9324800</v>
      </c>
      <c r="F28" s="15"/>
      <c r="G28" s="9">
        <f>E28+F28</f>
        <v>9324800</v>
      </c>
      <c r="H28" s="15">
        <v>-1785600</v>
      </c>
      <c r="I28" s="9">
        <f>G28+H28</f>
        <v>7539200</v>
      </c>
      <c r="J28" s="9">
        <v>7539200</v>
      </c>
      <c r="K28" s="9">
        <f t="shared" si="5"/>
        <v>1785600</v>
      </c>
      <c r="L28" s="20">
        <f t="shared" si="1"/>
        <v>0.80851063829787229</v>
      </c>
      <c r="M28" s="9"/>
      <c r="N28" s="9">
        <f t="shared" si="6"/>
        <v>0</v>
      </c>
      <c r="O28" s="20">
        <f t="shared" si="7"/>
        <v>1</v>
      </c>
    </row>
    <row r="29" spans="1:15" s="34" customFormat="1" ht="141.75">
      <c r="A29" s="32" t="s">
        <v>82</v>
      </c>
      <c r="B29" s="33" t="s">
        <v>43</v>
      </c>
      <c r="C29" s="9">
        <f t="shared" ref="C29:I29" si="19">C30+C34</f>
        <v>20509133.329999998</v>
      </c>
      <c r="D29" s="15">
        <f t="shared" si="19"/>
        <v>4737.9799999999996</v>
      </c>
      <c r="E29" s="9">
        <f t="shared" si="19"/>
        <v>20513871.310000002</v>
      </c>
      <c r="F29" s="15">
        <f t="shared" si="19"/>
        <v>161132</v>
      </c>
      <c r="G29" s="9">
        <f t="shared" si="19"/>
        <v>20675003.310000002</v>
      </c>
      <c r="H29" s="15">
        <f t="shared" si="19"/>
        <v>-3400568.0599999996</v>
      </c>
      <c r="I29" s="9">
        <f t="shared" si="19"/>
        <v>17274435.25</v>
      </c>
      <c r="J29" s="9">
        <f t="shared" ref="J29" si="20">J30+J34</f>
        <v>17172618.41</v>
      </c>
      <c r="K29" s="9">
        <f t="shared" si="5"/>
        <v>3336514.9199999981</v>
      </c>
      <c r="L29" s="20">
        <f t="shared" si="1"/>
        <v>0.83731565511257033</v>
      </c>
      <c r="M29" s="28" t="s">
        <v>104</v>
      </c>
      <c r="N29" s="9">
        <f t="shared" si="6"/>
        <v>101816.83999999985</v>
      </c>
      <c r="O29" s="20">
        <f t="shared" si="7"/>
        <v>0.99410592366543504</v>
      </c>
    </row>
    <row r="30" spans="1:15" ht="83.25" hidden="1" customHeight="1">
      <c r="A30" s="3" t="s">
        <v>83</v>
      </c>
      <c r="B30" s="12" t="s">
        <v>44</v>
      </c>
      <c r="C30" s="9">
        <f t="shared" ref="C30:J30" si="21">SUM(C32:C33)</f>
        <v>20059133.329999998</v>
      </c>
      <c r="D30" s="15">
        <f t="shared" si="21"/>
        <v>4737.9799999999996</v>
      </c>
      <c r="E30" s="9">
        <f t="shared" si="21"/>
        <v>20063871.310000002</v>
      </c>
      <c r="F30" s="15">
        <f t="shared" ref="F30:G30" si="22">SUM(F32:F33)</f>
        <v>82372</v>
      </c>
      <c r="G30" s="9">
        <f t="shared" si="22"/>
        <v>20146243.310000002</v>
      </c>
      <c r="H30" s="15">
        <f t="shared" ref="H30:I30" si="23">SUM(H32:H33)</f>
        <v>-3400568.0599999996</v>
      </c>
      <c r="I30" s="9">
        <f t="shared" si="23"/>
        <v>16745675.25</v>
      </c>
      <c r="J30" s="9">
        <f t="shared" si="21"/>
        <v>16688946.01</v>
      </c>
      <c r="K30" s="9">
        <f t="shared" si="5"/>
        <v>3370187.3199999984</v>
      </c>
      <c r="L30" s="20">
        <f t="shared" si="1"/>
        <v>0.83198739125186327</v>
      </c>
      <c r="M30" s="9"/>
      <c r="N30" s="9">
        <f t="shared" si="6"/>
        <v>56729.240000000224</v>
      </c>
      <c r="O30" s="20">
        <f t="shared" si="7"/>
        <v>0.99661230501887343</v>
      </c>
    </row>
    <row r="31" spans="1:15" ht="23.25" hidden="1" customHeight="1">
      <c r="A31" s="3" t="s">
        <v>6</v>
      </c>
      <c r="B31" s="12"/>
      <c r="C31" s="9"/>
      <c r="D31" s="15"/>
      <c r="E31" s="9"/>
      <c r="F31" s="15"/>
      <c r="G31" s="9"/>
      <c r="H31" s="15"/>
      <c r="I31" s="9"/>
      <c r="J31" s="9"/>
      <c r="K31" s="9"/>
      <c r="L31" s="20"/>
      <c r="M31" s="9"/>
      <c r="N31" s="9"/>
      <c r="O31" s="20"/>
    </row>
    <row r="32" spans="1:15" ht="15.75" hidden="1">
      <c r="A32" s="3" t="s">
        <v>8</v>
      </c>
      <c r="B32" s="12"/>
      <c r="C32" s="9">
        <f>0+10949000+72881.07</f>
        <v>11021881.07</v>
      </c>
      <c r="D32" s="15">
        <f>4737.98</f>
        <v>4737.9799999999996</v>
      </c>
      <c r="E32" s="9">
        <f>C32+D32</f>
        <v>11026619.050000001</v>
      </c>
      <c r="F32" s="15">
        <f>-110000+192372</f>
        <v>82372</v>
      </c>
      <c r="G32" s="9">
        <f>E32+F32</f>
        <v>11108991.050000001</v>
      </c>
      <c r="H32" s="15">
        <f>-240434.73-25281.07</f>
        <v>-265715.8</v>
      </c>
      <c r="I32" s="9">
        <f>G32+H32</f>
        <v>10843275.25</v>
      </c>
      <c r="J32" s="9">
        <f>16688946.01-5902400</f>
        <v>10786546.01</v>
      </c>
      <c r="K32" s="9">
        <f t="shared" si="5"/>
        <v>235335.06000000052</v>
      </c>
      <c r="L32" s="20">
        <f t="shared" si="1"/>
        <v>0.97864837603441857</v>
      </c>
      <c r="M32" s="9"/>
      <c r="N32" s="9">
        <f t="shared" si="6"/>
        <v>56729.240000000224</v>
      </c>
      <c r="O32" s="20">
        <f t="shared" si="7"/>
        <v>0.99476825602116847</v>
      </c>
    </row>
    <row r="33" spans="1:15" ht="15.75" hidden="1">
      <c r="A33" s="3" t="s">
        <v>9</v>
      </c>
      <c r="B33" s="12"/>
      <c r="C33" s="9">
        <v>9037252.2599999998</v>
      </c>
      <c r="D33" s="15"/>
      <c r="E33" s="9">
        <f>C33+D33</f>
        <v>9037252.2599999998</v>
      </c>
      <c r="F33" s="15"/>
      <c r="G33" s="9">
        <f>E33+F33</f>
        <v>9037252.2599999998</v>
      </c>
      <c r="H33" s="15">
        <v>-3134852.26</v>
      </c>
      <c r="I33" s="9">
        <f>G33+H33</f>
        <v>5902400</v>
      </c>
      <c r="J33" s="9">
        <v>5902400</v>
      </c>
      <c r="K33" s="9">
        <f t="shared" si="5"/>
        <v>3134852.26</v>
      </c>
      <c r="L33" s="20">
        <f t="shared" si="1"/>
        <v>0.65311887177530226</v>
      </c>
      <c r="M33" s="9"/>
      <c r="N33" s="9">
        <f t="shared" si="6"/>
        <v>0</v>
      </c>
      <c r="O33" s="20">
        <f t="shared" si="7"/>
        <v>1</v>
      </c>
    </row>
    <row r="34" spans="1:15" ht="83.25" hidden="1" customHeight="1">
      <c r="A34" s="3" t="s">
        <v>19</v>
      </c>
      <c r="B34" s="12" t="s">
        <v>45</v>
      </c>
      <c r="C34" s="9">
        <f t="shared" ref="C34:I34" si="24">C35</f>
        <v>450000</v>
      </c>
      <c r="D34" s="15">
        <f t="shared" si="24"/>
        <v>0</v>
      </c>
      <c r="E34" s="9">
        <f t="shared" si="24"/>
        <v>450000</v>
      </c>
      <c r="F34" s="15">
        <f t="shared" si="24"/>
        <v>78760</v>
      </c>
      <c r="G34" s="9">
        <f t="shared" si="24"/>
        <v>528760</v>
      </c>
      <c r="H34" s="15">
        <f t="shared" si="24"/>
        <v>0</v>
      </c>
      <c r="I34" s="9">
        <f t="shared" si="24"/>
        <v>528760</v>
      </c>
      <c r="J34" s="9">
        <f>J35</f>
        <v>483672.4</v>
      </c>
      <c r="K34" s="9">
        <f t="shared" si="5"/>
        <v>-33672.400000000023</v>
      </c>
      <c r="L34" s="20">
        <f t="shared" si="1"/>
        <v>1.0748275555555555</v>
      </c>
      <c r="M34" s="9"/>
      <c r="N34" s="9">
        <f t="shared" si="6"/>
        <v>45087.599999999977</v>
      </c>
      <c r="O34" s="20">
        <f t="shared" si="7"/>
        <v>0.9147295559422044</v>
      </c>
    </row>
    <row r="35" spans="1:15" ht="15.75" hidden="1">
      <c r="A35" s="10" t="s">
        <v>7</v>
      </c>
      <c r="B35" s="12"/>
      <c r="C35" s="9">
        <f>450000</f>
        <v>450000</v>
      </c>
      <c r="D35" s="15"/>
      <c r="E35" s="9">
        <f>C35+D35</f>
        <v>450000</v>
      </c>
      <c r="F35" s="15">
        <v>78760</v>
      </c>
      <c r="G35" s="9">
        <f>E35+F35</f>
        <v>528760</v>
      </c>
      <c r="H35" s="15"/>
      <c r="I35" s="9">
        <f>G35+H35</f>
        <v>528760</v>
      </c>
      <c r="J35" s="9">
        <v>483672.4</v>
      </c>
      <c r="K35" s="9">
        <f t="shared" si="5"/>
        <v>-33672.400000000023</v>
      </c>
      <c r="L35" s="20">
        <f t="shared" si="1"/>
        <v>1.0748275555555555</v>
      </c>
      <c r="M35" s="9"/>
      <c r="N35" s="9">
        <f t="shared" si="6"/>
        <v>45087.599999999977</v>
      </c>
      <c r="O35" s="20">
        <f t="shared" si="7"/>
        <v>0.9147295559422044</v>
      </c>
    </row>
    <row r="36" spans="1:15" s="34" customFormat="1" ht="117.75" customHeight="1">
      <c r="A36" s="32" t="s">
        <v>54</v>
      </c>
      <c r="B36" s="33" t="s">
        <v>46</v>
      </c>
      <c r="C36" s="9">
        <f t="shared" ref="C36:I36" si="25">C37</f>
        <v>7541450</v>
      </c>
      <c r="D36" s="15">
        <f t="shared" si="25"/>
        <v>0</v>
      </c>
      <c r="E36" s="9">
        <f t="shared" si="25"/>
        <v>7541450</v>
      </c>
      <c r="F36" s="15">
        <f t="shared" si="25"/>
        <v>98175</v>
      </c>
      <c r="G36" s="9">
        <f t="shared" si="25"/>
        <v>7639625</v>
      </c>
      <c r="H36" s="15">
        <f t="shared" si="25"/>
        <v>0</v>
      </c>
      <c r="I36" s="9">
        <f t="shared" si="25"/>
        <v>7639625</v>
      </c>
      <c r="J36" s="9">
        <f>J37</f>
        <v>6645530.5</v>
      </c>
      <c r="K36" s="9">
        <f t="shared" si="5"/>
        <v>895919.5</v>
      </c>
      <c r="L36" s="20">
        <f t="shared" si="1"/>
        <v>0.88120063117835434</v>
      </c>
      <c r="M36" s="27" t="s">
        <v>105</v>
      </c>
      <c r="N36" s="9">
        <f t="shared" si="6"/>
        <v>994094.5</v>
      </c>
      <c r="O36" s="20">
        <f t="shared" si="7"/>
        <v>0.86987653189783531</v>
      </c>
    </row>
    <row r="37" spans="1:15" ht="15.75" hidden="1">
      <c r="A37" s="10" t="s">
        <v>7</v>
      </c>
      <c r="B37" s="12"/>
      <c r="C37" s="9">
        <f>310000+1231450+6000000</f>
        <v>7541450</v>
      </c>
      <c r="D37" s="15"/>
      <c r="E37" s="9">
        <f>C37+D37</f>
        <v>7541450</v>
      </c>
      <c r="F37" s="15">
        <f>98175</f>
        <v>98175</v>
      </c>
      <c r="G37" s="9">
        <f>E37+F37</f>
        <v>7639625</v>
      </c>
      <c r="H37" s="15"/>
      <c r="I37" s="9">
        <f>G37+H37</f>
        <v>7639625</v>
      </c>
      <c r="J37" s="9">
        <v>6645530.5</v>
      </c>
      <c r="K37" s="9">
        <f t="shared" si="5"/>
        <v>895919.5</v>
      </c>
      <c r="L37" s="20">
        <f t="shared" si="1"/>
        <v>0.88120063117835434</v>
      </c>
      <c r="M37" s="9"/>
      <c r="N37" s="9">
        <f t="shared" si="6"/>
        <v>994094.5</v>
      </c>
      <c r="O37" s="20">
        <f t="shared" si="7"/>
        <v>0.86987653189783531</v>
      </c>
    </row>
    <row r="38" spans="1:15" s="34" customFormat="1" ht="78.75">
      <c r="A38" s="32" t="s">
        <v>84</v>
      </c>
      <c r="B38" s="33" t="s">
        <v>47</v>
      </c>
      <c r="C38" s="9">
        <f t="shared" ref="C38:I38" si="26">C39</f>
        <v>3826039</v>
      </c>
      <c r="D38" s="15">
        <f t="shared" si="26"/>
        <v>0</v>
      </c>
      <c r="E38" s="9">
        <f t="shared" si="26"/>
        <v>3826039</v>
      </c>
      <c r="F38" s="15">
        <f t="shared" si="26"/>
        <v>50000</v>
      </c>
      <c r="G38" s="9">
        <f t="shared" si="26"/>
        <v>3876039</v>
      </c>
      <c r="H38" s="15">
        <f t="shared" si="26"/>
        <v>0</v>
      </c>
      <c r="I38" s="9">
        <f t="shared" si="26"/>
        <v>3876039</v>
      </c>
      <c r="J38" s="9">
        <f>J39</f>
        <v>3869188.91</v>
      </c>
      <c r="K38" s="9">
        <f t="shared" si="5"/>
        <v>-43149.910000000149</v>
      </c>
      <c r="L38" s="20">
        <f t="shared" si="1"/>
        <v>1.0112779587453238</v>
      </c>
      <c r="M38" s="28" t="s">
        <v>107</v>
      </c>
      <c r="N38" s="9">
        <f t="shared" si="6"/>
        <v>6850.089999999851</v>
      </c>
      <c r="O38" s="20">
        <f t="shared" si="7"/>
        <v>0.99823270870081549</v>
      </c>
    </row>
    <row r="39" spans="1:15" ht="15.75" hidden="1">
      <c r="A39" s="10" t="s">
        <v>7</v>
      </c>
      <c r="B39" s="12"/>
      <c r="C39" s="9">
        <f>238296+350022+2123471+842000+55250+217000</f>
        <v>3826039</v>
      </c>
      <c r="D39" s="15"/>
      <c r="E39" s="9">
        <f>C39+D39</f>
        <v>3826039</v>
      </c>
      <c r="F39" s="15">
        <f>50000</f>
        <v>50000</v>
      </c>
      <c r="G39" s="9">
        <f>E39+F39</f>
        <v>3876039</v>
      </c>
      <c r="H39" s="15"/>
      <c r="I39" s="9">
        <f>G39+H39</f>
        <v>3876039</v>
      </c>
      <c r="J39" s="9">
        <v>3869188.91</v>
      </c>
      <c r="K39" s="9">
        <f t="shared" si="5"/>
        <v>-43149.910000000149</v>
      </c>
      <c r="L39" s="20">
        <f t="shared" si="1"/>
        <v>1.0112779587453238</v>
      </c>
      <c r="M39" s="9"/>
      <c r="N39" s="9">
        <f t="shared" si="6"/>
        <v>6850.089999999851</v>
      </c>
      <c r="O39" s="20">
        <f t="shared" si="7"/>
        <v>0.99823270870081549</v>
      </c>
    </row>
    <row r="40" spans="1:15" s="34" customFormat="1" ht="47.25">
      <c r="A40" s="36" t="s">
        <v>55</v>
      </c>
      <c r="B40" s="33" t="s">
        <v>37</v>
      </c>
      <c r="C40" s="9">
        <f t="shared" ref="C40:I40" si="27">C41+C46+C58+C51+C56</f>
        <v>88280824.370000005</v>
      </c>
      <c r="D40" s="15">
        <f t="shared" si="27"/>
        <v>392744.16</v>
      </c>
      <c r="E40" s="9">
        <f t="shared" si="27"/>
        <v>88673568.530000001</v>
      </c>
      <c r="F40" s="15">
        <f t="shared" si="27"/>
        <v>-6870.9099999999162</v>
      </c>
      <c r="G40" s="9">
        <f t="shared" si="27"/>
        <v>88666697.61999999</v>
      </c>
      <c r="H40" s="15">
        <f t="shared" si="27"/>
        <v>-340820.20999999996</v>
      </c>
      <c r="I40" s="9">
        <f t="shared" si="27"/>
        <v>88325877.409999996</v>
      </c>
      <c r="J40" s="9">
        <f t="shared" ref="J40" si="28">J41+J46+J58+J51+J56</f>
        <v>88325877.409999996</v>
      </c>
      <c r="K40" s="9">
        <f t="shared" si="5"/>
        <v>-45053.039999991655</v>
      </c>
      <c r="L40" s="20">
        <f t="shared" si="1"/>
        <v>1.0005103377808431</v>
      </c>
      <c r="M40" s="9"/>
      <c r="N40" s="9">
        <f t="shared" si="6"/>
        <v>0</v>
      </c>
      <c r="O40" s="20">
        <f t="shared" si="7"/>
        <v>1</v>
      </c>
    </row>
    <row r="41" spans="1:15" ht="31.5" hidden="1">
      <c r="A41" s="3" t="s">
        <v>23</v>
      </c>
      <c r="B41" s="12" t="s">
        <v>38</v>
      </c>
      <c r="C41" s="9">
        <f t="shared" ref="C41:I41" si="29">C43</f>
        <v>15900000</v>
      </c>
      <c r="D41" s="15">
        <f t="shared" si="29"/>
        <v>284278.68</v>
      </c>
      <c r="E41" s="9">
        <f t="shared" si="29"/>
        <v>16184278.68</v>
      </c>
      <c r="F41" s="15">
        <f t="shared" si="29"/>
        <v>227459.39</v>
      </c>
      <c r="G41" s="9">
        <f t="shared" si="29"/>
        <v>16411738.07</v>
      </c>
      <c r="H41" s="15">
        <f t="shared" si="29"/>
        <v>1016552</v>
      </c>
      <c r="I41" s="9">
        <f t="shared" si="29"/>
        <v>17428290.07</v>
      </c>
      <c r="J41" s="9">
        <f>SUM(J43:J45)</f>
        <v>17428290.07</v>
      </c>
      <c r="K41" s="9">
        <f t="shared" si="5"/>
        <v>-1528290.0700000003</v>
      </c>
      <c r="L41" s="20">
        <f t="shared" si="1"/>
        <v>1.0961188723270441</v>
      </c>
      <c r="M41" s="9"/>
      <c r="N41" s="9">
        <f t="shared" si="6"/>
        <v>0</v>
      </c>
      <c r="O41" s="20">
        <f t="shared" si="7"/>
        <v>1</v>
      </c>
    </row>
    <row r="42" spans="1:15" ht="15.75" hidden="1">
      <c r="A42" s="3" t="s">
        <v>6</v>
      </c>
      <c r="B42" s="12"/>
      <c r="C42" s="9"/>
      <c r="D42" s="15"/>
      <c r="E42" s="9"/>
      <c r="F42" s="15"/>
      <c r="G42" s="9"/>
      <c r="H42" s="15"/>
      <c r="I42" s="9"/>
      <c r="J42" s="9"/>
      <c r="K42" s="9">
        <f t="shared" si="5"/>
        <v>0</v>
      </c>
      <c r="L42" s="20" t="e">
        <f t="shared" si="1"/>
        <v>#DIV/0!</v>
      </c>
      <c r="M42" s="9"/>
      <c r="N42" s="9">
        <f t="shared" si="6"/>
        <v>0</v>
      </c>
      <c r="O42" s="20" t="e">
        <f t="shared" si="7"/>
        <v>#DIV/0!</v>
      </c>
    </row>
    <row r="43" spans="1:15" ht="15.75" hidden="1">
      <c r="A43" s="10" t="s">
        <v>7</v>
      </c>
      <c r="B43" s="12"/>
      <c r="C43" s="9">
        <f>15900000</f>
        <v>15900000</v>
      </c>
      <c r="D43" s="15">
        <v>284278.68</v>
      </c>
      <c r="E43" s="9">
        <f>C43+D43</f>
        <v>16184278.68</v>
      </c>
      <c r="F43" s="15">
        <f>128979.39+98480</f>
        <v>227459.39</v>
      </c>
      <c r="G43" s="9">
        <f>E43+F43</f>
        <v>16411738.07</v>
      </c>
      <c r="H43" s="15">
        <f>1164032-198480+51000</f>
        <v>1016552</v>
      </c>
      <c r="I43" s="9">
        <f>G43+H43</f>
        <v>17428290.07</v>
      </c>
      <c r="J43" s="9">
        <v>17428290.07</v>
      </c>
      <c r="K43" s="9">
        <f t="shared" si="5"/>
        <v>-1528290.0700000003</v>
      </c>
      <c r="L43" s="20">
        <f t="shared" si="1"/>
        <v>1.0961188723270441</v>
      </c>
      <c r="M43" s="9"/>
      <c r="N43" s="9">
        <f t="shared" si="6"/>
        <v>0</v>
      </c>
      <c r="O43" s="20">
        <f t="shared" si="7"/>
        <v>1</v>
      </c>
    </row>
    <row r="44" spans="1:15" ht="15.75" hidden="1">
      <c r="A44" s="3" t="s">
        <v>9</v>
      </c>
      <c r="B44" s="12"/>
      <c r="C44" s="9"/>
      <c r="D44" s="15"/>
      <c r="E44" s="9"/>
      <c r="F44" s="15"/>
      <c r="G44" s="9"/>
      <c r="H44" s="15"/>
      <c r="I44" s="9"/>
      <c r="J44" s="9"/>
      <c r="K44" s="9">
        <f t="shared" si="5"/>
        <v>0</v>
      </c>
      <c r="L44" s="20" t="e">
        <f t="shared" si="1"/>
        <v>#DIV/0!</v>
      </c>
      <c r="M44" s="9"/>
      <c r="N44" s="9">
        <f t="shared" si="6"/>
        <v>0</v>
      </c>
      <c r="O44" s="20" t="e">
        <f t="shared" si="7"/>
        <v>#DIV/0!</v>
      </c>
    </row>
    <row r="45" spans="1:15" ht="15.75" hidden="1">
      <c r="A45" s="10" t="s">
        <v>10</v>
      </c>
      <c r="B45" s="12"/>
      <c r="C45" s="9"/>
      <c r="D45" s="15"/>
      <c r="E45" s="9"/>
      <c r="F45" s="15"/>
      <c r="G45" s="9"/>
      <c r="H45" s="15"/>
      <c r="I45" s="9"/>
      <c r="J45" s="9"/>
      <c r="K45" s="9">
        <f t="shared" si="5"/>
        <v>0</v>
      </c>
      <c r="L45" s="20" t="e">
        <f t="shared" si="1"/>
        <v>#DIV/0!</v>
      </c>
      <c r="M45" s="9"/>
      <c r="N45" s="9">
        <f t="shared" si="6"/>
        <v>0</v>
      </c>
      <c r="O45" s="20" t="e">
        <f t="shared" si="7"/>
        <v>#DIV/0!</v>
      </c>
    </row>
    <row r="46" spans="1:15" ht="31.5" hidden="1">
      <c r="A46" s="3" t="s">
        <v>24</v>
      </c>
      <c r="B46" s="12" t="s">
        <v>39</v>
      </c>
      <c r="C46" s="9">
        <f t="shared" ref="C46:I46" si="30">C48+C49+C50</f>
        <v>18151415.969999999</v>
      </c>
      <c r="D46" s="15">
        <f t="shared" si="30"/>
        <v>-2168.52</v>
      </c>
      <c r="E46" s="9">
        <f t="shared" si="30"/>
        <v>18149247.449999999</v>
      </c>
      <c r="F46" s="15">
        <f t="shared" si="30"/>
        <v>86388.69</v>
      </c>
      <c r="G46" s="9">
        <f t="shared" si="30"/>
        <v>18235636.140000001</v>
      </c>
      <c r="H46" s="15">
        <f t="shared" si="30"/>
        <v>210</v>
      </c>
      <c r="I46" s="9">
        <f t="shared" si="30"/>
        <v>18235846.140000001</v>
      </c>
      <c r="J46" s="9">
        <f t="shared" ref="J46" si="31">J48+J49+J50</f>
        <v>18235846.140000001</v>
      </c>
      <c r="K46" s="9">
        <f t="shared" si="5"/>
        <v>-84430.170000001788</v>
      </c>
      <c r="L46" s="20">
        <f t="shared" si="1"/>
        <v>1.0046514371187099</v>
      </c>
      <c r="M46" s="9"/>
      <c r="N46" s="9">
        <f t="shared" si="6"/>
        <v>0</v>
      </c>
      <c r="O46" s="20">
        <f t="shared" si="7"/>
        <v>1</v>
      </c>
    </row>
    <row r="47" spans="1:15" ht="15.75" hidden="1">
      <c r="A47" s="3" t="s">
        <v>6</v>
      </c>
      <c r="B47" s="12"/>
      <c r="C47" s="9"/>
      <c r="D47" s="15"/>
      <c r="E47" s="9"/>
      <c r="F47" s="15"/>
      <c r="G47" s="9"/>
      <c r="H47" s="15"/>
      <c r="I47" s="9"/>
      <c r="J47" s="9"/>
      <c r="K47" s="9"/>
      <c r="L47" s="20"/>
      <c r="M47" s="9"/>
      <c r="N47" s="9"/>
      <c r="O47" s="20"/>
    </row>
    <row r="48" spans="1:15" ht="15.75" hidden="1">
      <c r="A48" s="10" t="s">
        <v>8</v>
      </c>
      <c r="B48" s="12"/>
      <c r="C48" s="9">
        <f>17500000+495317.03+4682.97</f>
        <v>18000000</v>
      </c>
      <c r="D48" s="15"/>
      <c r="E48" s="9">
        <f>C48+D48</f>
        <v>18000000</v>
      </c>
      <c r="F48" s="15">
        <f>86388.69</f>
        <v>86388.69</v>
      </c>
      <c r="G48" s="9">
        <f>E48+F48</f>
        <v>18086388.690000001</v>
      </c>
      <c r="H48" s="15">
        <v>210</v>
      </c>
      <c r="I48" s="9">
        <f>G48+H48</f>
        <v>18086598.690000001</v>
      </c>
      <c r="J48" s="9">
        <f>18235846.14-149247.45</f>
        <v>18086598.690000001</v>
      </c>
      <c r="K48" s="9">
        <f t="shared" si="5"/>
        <v>-86598.690000001341</v>
      </c>
      <c r="L48" s="20">
        <f t="shared" si="1"/>
        <v>1.0048110383333335</v>
      </c>
      <c r="M48" s="9"/>
      <c r="N48" s="9">
        <f t="shared" si="6"/>
        <v>0</v>
      </c>
      <c r="O48" s="20">
        <f t="shared" si="7"/>
        <v>1</v>
      </c>
    </row>
    <row r="49" spans="1:15" ht="15.75" hidden="1">
      <c r="A49" s="3" t="s">
        <v>9</v>
      </c>
      <c r="B49" s="12"/>
      <c r="C49" s="9">
        <v>151415.97</v>
      </c>
      <c r="D49" s="15">
        <v>-2168.52</v>
      </c>
      <c r="E49" s="9">
        <f>C49+D49</f>
        <v>149247.45000000001</v>
      </c>
      <c r="F49" s="15"/>
      <c r="G49" s="9">
        <f>E49+F49</f>
        <v>149247.45000000001</v>
      </c>
      <c r="H49" s="15"/>
      <c r="I49" s="9">
        <f>G49+H49</f>
        <v>149247.45000000001</v>
      </c>
      <c r="J49" s="9">
        <v>149247.45000000001</v>
      </c>
      <c r="K49" s="9">
        <f t="shared" si="5"/>
        <v>2168.5199999999895</v>
      </c>
      <c r="L49" s="20">
        <f t="shared" si="1"/>
        <v>0.98567839310476968</v>
      </c>
      <c r="M49" s="9"/>
      <c r="N49" s="9">
        <f t="shared" si="6"/>
        <v>0</v>
      </c>
      <c r="O49" s="20">
        <f t="shared" si="7"/>
        <v>1</v>
      </c>
    </row>
    <row r="50" spans="1:15" ht="15.75" hidden="1">
      <c r="A50" s="3" t="s">
        <v>10</v>
      </c>
      <c r="B50" s="12"/>
      <c r="C50" s="9"/>
      <c r="D50" s="15"/>
      <c r="E50" s="9"/>
      <c r="F50" s="15"/>
      <c r="G50" s="9"/>
      <c r="H50" s="15"/>
      <c r="I50" s="9"/>
      <c r="J50" s="9"/>
      <c r="K50" s="9">
        <f t="shared" si="5"/>
        <v>0</v>
      </c>
      <c r="L50" s="20" t="e">
        <f t="shared" si="1"/>
        <v>#DIV/0!</v>
      </c>
      <c r="M50" s="9"/>
      <c r="N50" s="9">
        <f t="shared" si="6"/>
        <v>0</v>
      </c>
      <c r="O50" s="20" t="e">
        <f t="shared" si="7"/>
        <v>#DIV/0!</v>
      </c>
    </row>
    <row r="51" spans="1:15" ht="31.5" hidden="1">
      <c r="A51" s="3" t="s">
        <v>25</v>
      </c>
      <c r="B51" s="12" t="s">
        <v>40</v>
      </c>
      <c r="C51" s="9">
        <f t="shared" ref="C51:I51" si="32">C53+C54</f>
        <v>50379408.399999999</v>
      </c>
      <c r="D51" s="15">
        <f t="shared" si="32"/>
        <v>110634</v>
      </c>
      <c r="E51" s="9">
        <f t="shared" si="32"/>
        <v>50490042.399999999</v>
      </c>
      <c r="F51" s="15">
        <f t="shared" si="32"/>
        <v>979289.27</v>
      </c>
      <c r="G51" s="9">
        <f t="shared" si="32"/>
        <v>51469331.670000002</v>
      </c>
      <c r="H51" s="15">
        <f t="shared" si="32"/>
        <v>-1005929.3999999999</v>
      </c>
      <c r="I51" s="9">
        <f t="shared" si="32"/>
        <v>50463402.270000003</v>
      </c>
      <c r="J51" s="9">
        <f>SUM(J53:J55)</f>
        <v>50463402.270000003</v>
      </c>
      <c r="K51" s="9">
        <f t="shared" si="5"/>
        <v>-83993.870000004768</v>
      </c>
      <c r="L51" s="20">
        <f t="shared" si="1"/>
        <v>1.001667226207444</v>
      </c>
      <c r="M51" s="9"/>
      <c r="N51" s="9">
        <f t="shared" si="6"/>
        <v>0</v>
      </c>
      <c r="O51" s="20">
        <f t="shared" si="7"/>
        <v>1</v>
      </c>
    </row>
    <row r="52" spans="1:15" ht="15.75" hidden="1">
      <c r="A52" s="3" t="s">
        <v>6</v>
      </c>
      <c r="B52" s="12"/>
      <c r="C52" s="9"/>
      <c r="D52" s="15"/>
      <c r="E52" s="9"/>
      <c r="F52" s="15"/>
      <c r="G52" s="9"/>
      <c r="H52" s="15"/>
      <c r="I52" s="9"/>
      <c r="J52" s="9"/>
      <c r="K52" s="9"/>
      <c r="L52" s="20"/>
      <c r="M52" s="9"/>
      <c r="N52" s="9"/>
      <c r="O52" s="20"/>
    </row>
    <row r="53" spans="1:15" ht="15.75" hidden="1">
      <c r="A53" s="10" t="s">
        <v>8</v>
      </c>
      <c r="B53" s="12"/>
      <c r="C53" s="9">
        <f>36000000+1225500+2499988.4+376200+308331.6</f>
        <v>40410020</v>
      </c>
      <c r="D53" s="15">
        <v>110634</v>
      </c>
      <c r="E53" s="9">
        <f>C53+D53</f>
        <v>40520654</v>
      </c>
      <c r="F53" s="15">
        <f>293490+404603+281196.27</f>
        <v>979289.27</v>
      </c>
      <c r="G53" s="9">
        <f>E53+F53</f>
        <v>41499943.270000003</v>
      </c>
      <c r="H53" s="15">
        <v>233459</v>
      </c>
      <c r="I53" s="9">
        <f>G53+H53</f>
        <v>41733402.270000003</v>
      </c>
      <c r="J53" s="9">
        <f>50463402.27-8730000</f>
        <v>41733402.270000003</v>
      </c>
      <c r="K53" s="9">
        <f t="shared" si="5"/>
        <v>-1323382.2700000033</v>
      </c>
      <c r="L53" s="20">
        <f t="shared" si="1"/>
        <v>1.0327488645142964</v>
      </c>
      <c r="M53" s="9"/>
      <c r="N53" s="9">
        <f t="shared" si="6"/>
        <v>0</v>
      </c>
      <c r="O53" s="20">
        <f t="shared" si="7"/>
        <v>1</v>
      </c>
    </row>
    <row r="54" spans="1:15" ht="15.75" hidden="1">
      <c r="A54" s="3" t="s">
        <v>9</v>
      </c>
      <c r="B54" s="12"/>
      <c r="C54" s="9">
        <v>9969388.4000000004</v>
      </c>
      <c r="D54" s="15"/>
      <c r="E54" s="9">
        <f>C54+D54</f>
        <v>9969388.4000000004</v>
      </c>
      <c r="F54" s="15"/>
      <c r="G54" s="9">
        <f>E54+F54</f>
        <v>9969388.4000000004</v>
      </c>
      <c r="H54" s="15">
        <v>-1239388.3999999999</v>
      </c>
      <c r="I54" s="9">
        <f>G54+H54</f>
        <v>8730000</v>
      </c>
      <c r="J54" s="9">
        <v>8730000</v>
      </c>
      <c r="K54" s="9">
        <f t="shared" si="5"/>
        <v>1239388.4000000004</v>
      </c>
      <c r="L54" s="20">
        <f t="shared" si="1"/>
        <v>0.87568059842066137</v>
      </c>
      <c r="M54" s="9"/>
      <c r="N54" s="9">
        <f t="shared" si="6"/>
        <v>0</v>
      </c>
      <c r="O54" s="20">
        <f t="shared" si="7"/>
        <v>1</v>
      </c>
    </row>
    <row r="55" spans="1:15" ht="15.75" hidden="1">
      <c r="A55" s="10" t="s">
        <v>10</v>
      </c>
      <c r="B55" s="12"/>
      <c r="C55" s="9"/>
      <c r="D55" s="15"/>
      <c r="E55" s="9"/>
      <c r="F55" s="15"/>
      <c r="G55" s="9"/>
      <c r="H55" s="15"/>
      <c r="I55" s="9"/>
      <c r="J55" s="9"/>
      <c r="K55" s="9">
        <f t="shared" si="5"/>
        <v>0</v>
      </c>
      <c r="L55" s="20" t="e">
        <f t="shared" si="1"/>
        <v>#DIV/0!</v>
      </c>
      <c r="M55" s="9"/>
      <c r="N55" s="9">
        <f t="shared" si="6"/>
        <v>0</v>
      </c>
      <c r="O55" s="20" t="e">
        <f t="shared" si="7"/>
        <v>#DIV/0!</v>
      </c>
    </row>
    <row r="56" spans="1:15" ht="31.5" hidden="1">
      <c r="A56" s="10" t="s">
        <v>26</v>
      </c>
      <c r="B56" s="12" t="s">
        <v>42</v>
      </c>
      <c r="C56" s="9">
        <f t="shared" ref="C56:I56" si="33">C57</f>
        <v>2900000</v>
      </c>
      <c r="D56" s="15">
        <f t="shared" si="33"/>
        <v>0</v>
      </c>
      <c r="E56" s="9">
        <f t="shared" si="33"/>
        <v>2900000</v>
      </c>
      <c r="F56" s="15">
        <f t="shared" si="33"/>
        <v>-1450258.26</v>
      </c>
      <c r="G56" s="9">
        <f t="shared" si="33"/>
        <v>1449741.74</v>
      </c>
      <c r="H56" s="15">
        <f t="shared" si="33"/>
        <v>-29211</v>
      </c>
      <c r="I56" s="9">
        <f t="shared" si="33"/>
        <v>1420530.74</v>
      </c>
      <c r="J56" s="9">
        <f>J57</f>
        <v>1420530.74</v>
      </c>
      <c r="K56" s="9">
        <f t="shared" si="5"/>
        <v>1479469.26</v>
      </c>
      <c r="L56" s="20">
        <f t="shared" si="1"/>
        <v>0.48983818620689656</v>
      </c>
      <c r="M56" s="9"/>
      <c r="N56" s="9">
        <f t="shared" si="6"/>
        <v>0</v>
      </c>
      <c r="O56" s="20">
        <f t="shared" si="7"/>
        <v>1</v>
      </c>
    </row>
    <row r="57" spans="1:15" ht="15.75" hidden="1">
      <c r="A57" s="10" t="s">
        <v>7</v>
      </c>
      <c r="B57" s="12"/>
      <c r="C57" s="9">
        <v>2900000</v>
      </c>
      <c r="D57" s="15"/>
      <c r="E57" s="9">
        <f>C57+D57</f>
        <v>2900000</v>
      </c>
      <c r="F57" s="15">
        <v>-1450258.26</v>
      </c>
      <c r="G57" s="9">
        <f>E57+F57</f>
        <v>1449741.74</v>
      </c>
      <c r="H57" s="15">
        <v>-29211</v>
      </c>
      <c r="I57" s="9">
        <f>G57+H57</f>
        <v>1420530.74</v>
      </c>
      <c r="J57" s="9">
        <v>1420530.74</v>
      </c>
      <c r="K57" s="9">
        <f t="shared" si="5"/>
        <v>1479469.26</v>
      </c>
      <c r="L57" s="20">
        <f t="shared" si="1"/>
        <v>0.48983818620689656</v>
      </c>
      <c r="M57" s="9"/>
      <c r="N57" s="9">
        <f t="shared" si="6"/>
        <v>0</v>
      </c>
      <c r="O57" s="20">
        <f t="shared" si="7"/>
        <v>1</v>
      </c>
    </row>
    <row r="58" spans="1:15" ht="15.75" hidden="1">
      <c r="A58" s="3" t="s">
        <v>13</v>
      </c>
      <c r="B58" s="12" t="s">
        <v>41</v>
      </c>
      <c r="C58" s="9">
        <f t="shared" ref="C58:I58" si="34">C59</f>
        <v>950000</v>
      </c>
      <c r="D58" s="15">
        <f t="shared" si="34"/>
        <v>0</v>
      </c>
      <c r="E58" s="9">
        <f t="shared" si="34"/>
        <v>950000</v>
      </c>
      <c r="F58" s="15">
        <f t="shared" si="34"/>
        <v>150250</v>
      </c>
      <c r="G58" s="9">
        <f t="shared" si="34"/>
        <v>1100250</v>
      </c>
      <c r="H58" s="15">
        <f t="shared" si="34"/>
        <v>-322441.81</v>
      </c>
      <c r="I58" s="9">
        <f t="shared" si="34"/>
        <v>777808.19</v>
      </c>
      <c r="J58" s="9">
        <f>J59</f>
        <v>777808.19</v>
      </c>
      <c r="K58" s="9">
        <f t="shared" si="5"/>
        <v>172191.81000000006</v>
      </c>
      <c r="L58" s="20">
        <f t="shared" si="1"/>
        <v>0.81874546315789465</v>
      </c>
      <c r="M58" s="9"/>
      <c r="N58" s="9">
        <f t="shared" si="6"/>
        <v>0</v>
      </c>
      <c r="O58" s="20">
        <f t="shared" si="7"/>
        <v>1</v>
      </c>
    </row>
    <row r="59" spans="1:15" ht="15.75" hidden="1">
      <c r="A59" s="10" t="s">
        <v>7</v>
      </c>
      <c r="B59" s="12"/>
      <c r="C59" s="9">
        <v>950000</v>
      </c>
      <c r="D59" s="15"/>
      <c r="E59" s="9">
        <f>C59+D59</f>
        <v>950000</v>
      </c>
      <c r="F59" s="15">
        <v>150250</v>
      </c>
      <c r="G59" s="9">
        <f>E59+F59</f>
        <v>1100250</v>
      </c>
      <c r="H59" s="15">
        <v>-322441.81</v>
      </c>
      <c r="I59" s="9">
        <f>G59+H59</f>
        <v>777808.19</v>
      </c>
      <c r="J59" s="9">
        <v>777808.19</v>
      </c>
      <c r="K59" s="9">
        <f t="shared" si="5"/>
        <v>172191.81000000006</v>
      </c>
      <c r="L59" s="20">
        <f t="shared" si="1"/>
        <v>0.81874546315789465</v>
      </c>
      <c r="M59" s="9"/>
      <c r="N59" s="9">
        <f t="shared" si="6"/>
        <v>0</v>
      </c>
      <c r="O59" s="20">
        <f t="shared" si="7"/>
        <v>1</v>
      </c>
    </row>
    <row r="60" spans="1:15" ht="94.5">
      <c r="A60" s="36" t="s">
        <v>85</v>
      </c>
      <c r="B60" s="33" t="s">
        <v>32</v>
      </c>
      <c r="C60" s="9">
        <f t="shared" ref="C60:J60" si="35">C61+C66+C71+C73</f>
        <v>640690950</v>
      </c>
      <c r="D60" s="15">
        <f t="shared" si="35"/>
        <v>-17620245.619999997</v>
      </c>
      <c r="E60" s="9">
        <f t="shared" si="35"/>
        <v>623070704.38</v>
      </c>
      <c r="F60" s="15">
        <f t="shared" si="35"/>
        <v>12956043.039999999</v>
      </c>
      <c r="G60" s="9">
        <f t="shared" si="35"/>
        <v>636026747.41999996</v>
      </c>
      <c r="H60" s="15">
        <f t="shared" ref="H60:I60" si="36">H61+H66+H71+H73</f>
        <v>382799.13999999873</v>
      </c>
      <c r="I60" s="9">
        <f t="shared" si="36"/>
        <v>636409546.55999994</v>
      </c>
      <c r="J60" s="9">
        <f t="shared" si="35"/>
        <v>636057171.94999993</v>
      </c>
      <c r="K60" s="9">
        <f t="shared" si="5"/>
        <v>4633778.0500000715</v>
      </c>
      <c r="L60" s="20">
        <f t="shared" si="1"/>
        <v>0.99276753003924889</v>
      </c>
      <c r="M60" s="29" t="s">
        <v>106</v>
      </c>
      <c r="N60" s="9">
        <f t="shared" si="6"/>
        <v>352374.61000001431</v>
      </c>
      <c r="O60" s="20">
        <f t="shared" si="7"/>
        <v>0.99944630841585469</v>
      </c>
    </row>
    <row r="61" spans="1:15" ht="15.75" hidden="1">
      <c r="A61" s="3" t="s">
        <v>11</v>
      </c>
      <c r="B61" s="12" t="s">
        <v>33</v>
      </c>
      <c r="C61" s="9">
        <f t="shared" ref="C61:I61" si="37">C63+C64+C65</f>
        <v>245595400.54000002</v>
      </c>
      <c r="D61" s="15">
        <f t="shared" si="37"/>
        <v>4185485.69</v>
      </c>
      <c r="E61" s="9">
        <f t="shared" si="37"/>
        <v>249780886.23000002</v>
      </c>
      <c r="F61" s="15">
        <f t="shared" si="37"/>
        <v>16110089.4</v>
      </c>
      <c r="G61" s="9">
        <f t="shared" si="37"/>
        <v>265890975.63</v>
      </c>
      <c r="H61" s="15">
        <f t="shared" si="37"/>
        <v>-7222102.7199999997</v>
      </c>
      <c r="I61" s="9">
        <f t="shared" si="37"/>
        <v>258668872.91000003</v>
      </c>
      <c r="J61" s="9">
        <f t="shared" ref="J61" si="38">J63+J64+J65</f>
        <v>258668872.88</v>
      </c>
      <c r="K61" s="9">
        <f t="shared" si="5"/>
        <v>-13073472.339999974</v>
      </c>
      <c r="L61" s="20">
        <f t="shared" si="1"/>
        <v>1.0532317474645487</v>
      </c>
      <c r="M61" s="9"/>
      <c r="N61" s="9">
        <f t="shared" si="6"/>
        <v>3.0000030994415283E-2</v>
      </c>
      <c r="O61" s="20">
        <f t="shared" si="7"/>
        <v>0.99999999988402144</v>
      </c>
    </row>
    <row r="62" spans="1:15" s="34" customFormat="1" ht="15.75" hidden="1">
      <c r="A62" s="3" t="s">
        <v>6</v>
      </c>
      <c r="B62" s="14"/>
      <c r="C62" s="9"/>
      <c r="D62" s="15"/>
      <c r="E62" s="9"/>
      <c r="F62" s="15"/>
      <c r="G62" s="9"/>
      <c r="H62" s="15"/>
      <c r="I62" s="9"/>
      <c r="J62" s="9"/>
      <c r="K62" s="9"/>
      <c r="L62" s="20"/>
      <c r="M62" s="9"/>
      <c r="N62" s="9"/>
      <c r="O62" s="20"/>
    </row>
    <row r="63" spans="1:15" ht="15.75" hidden="1">
      <c r="A63" s="3" t="s">
        <v>8</v>
      </c>
      <c r="B63" s="12"/>
      <c r="C63" s="9">
        <f>82550200+1822200.54</f>
        <v>84372400.540000007</v>
      </c>
      <c r="D63" s="15">
        <f>1177818.69</f>
        <v>1177818.69</v>
      </c>
      <c r="E63" s="9">
        <f>C63+D63</f>
        <v>85550219.230000004</v>
      </c>
      <c r="F63" s="15">
        <f>552713.52-95213.42</f>
        <v>457500.10000000003</v>
      </c>
      <c r="G63" s="9">
        <f>E63+F63</f>
        <v>86007719.329999998</v>
      </c>
      <c r="H63" s="15">
        <v>425088.69</v>
      </c>
      <c r="I63" s="9">
        <f>G63+H63</f>
        <v>86432808.019999996</v>
      </c>
      <c r="J63" s="9">
        <f>85270438.21+393014+312000+457355.81</f>
        <v>86432808.019999996</v>
      </c>
      <c r="K63" s="9">
        <f t="shared" ref="K63:K126" si="39">C63-J63</f>
        <v>-2060407.4799999893</v>
      </c>
      <c r="L63" s="20">
        <f t="shared" ref="L63:L126" si="40">J63/C63</f>
        <v>1.0244203965611145</v>
      </c>
      <c r="M63" s="9"/>
      <c r="N63" s="9">
        <f t="shared" ref="N63:N126" si="41">I63-J63</f>
        <v>0</v>
      </c>
      <c r="O63" s="20">
        <f t="shared" ref="O63:O126" si="42">J63/I63</f>
        <v>1</v>
      </c>
    </row>
    <row r="64" spans="1:15" ht="15.75" hidden="1">
      <c r="A64" s="3" t="s">
        <v>9</v>
      </c>
      <c r="B64" s="12"/>
      <c r="C64" s="9">
        <f>148641000+12582000</f>
        <v>161223000</v>
      </c>
      <c r="D64" s="15">
        <f>3008821-1154</f>
        <v>3007667</v>
      </c>
      <c r="E64" s="9">
        <f>C64+D64</f>
        <v>164230667</v>
      </c>
      <c r="F64" s="15">
        <f>15652589.3</f>
        <v>15652589.300000001</v>
      </c>
      <c r="G64" s="9">
        <f>E64+F64</f>
        <v>179883256.30000001</v>
      </c>
      <c r="H64" s="15">
        <v>-7647191.4100000001</v>
      </c>
      <c r="I64" s="9">
        <f>G64+H64</f>
        <v>172236064.89000002</v>
      </c>
      <c r="J64" s="9">
        <f>151649821+14787837.65+5798406.21</f>
        <v>172236064.86000001</v>
      </c>
      <c r="K64" s="9">
        <f t="shared" si="39"/>
        <v>-11013064.860000014</v>
      </c>
      <c r="L64" s="20">
        <f t="shared" si="40"/>
        <v>1.0683095145233621</v>
      </c>
      <c r="M64" s="9"/>
      <c r="N64" s="9">
        <f t="shared" si="41"/>
        <v>3.0000001192092896E-2</v>
      </c>
      <c r="O64" s="20">
        <f t="shared" si="42"/>
        <v>0.99999999982582044</v>
      </c>
    </row>
    <row r="65" spans="1:15" ht="15.75" hidden="1">
      <c r="A65" s="10" t="s">
        <v>10</v>
      </c>
      <c r="B65" s="12"/>
      <c r="C65" s="9"/>
      <c r="D65" s="15"/>
      <c r="E65" s="9"/>
      <c r="F65" s="15"/>
      <c r="G65" s="9"/>
      <c r="H65" s="15"/>
      <c r="I65" s="9"/>
      <c r="J65" s="9"/>
      <c r="K65" s="9">
        <f t="shared" si="39"/>
        <v>0</v>
      </c>
      <c r="L65" s="20" t="e">
        <f t="shared" si="40"/>
        <v>#DIV/0!</v>
      </c>
      <c r="M65" s="9"/>
      <c r="N65" s="9">
        <f t="shared" si="41"/>
        <v>0</v>
      </c>
      <c r="O65" s="20" t="e">
        <f t="shared" si="42"/>
        <v>#DIV/0!</v>
      </c>
    </row>
    <row r="66" spans="1:15" ht="15.75" hidden="1">
      <c r="A66" s="3" t="s">
        <v>16</v>
      </c>
      <c r="B66" s="12" t="s">
        <v>34</v>
      </c>
      <c r="C66" s="9">
        <f t="shared" ref="C66:J66" si="43">SUM(C68:C70)</f>
        <v>341299487.45999998</v>
      </c>
      <c r="D66" s="15">
        <f t="shared" si="43"/>
        <v>-21857073.789999999</v>
      </c>
      <c r="E66" s="9">
        <f t="shared" si="43"/>
        <v>319442413.66999996</v>
      </c>
      <c r="F66" s="15">
        <f t="shared" ref="F66:G66" si="44">SUM(F68:F70)</f>
        <v>-106569.54000000004</v>
      </c>
      <c r="G66" s="9">
        <f t="shared" si="44"/>
        <v>319335844.13</v>
      </c>
      <c r="H66" s="15">
        <f t="shared" ref="H66:I66" si="45">SUM(H68:H70)</f>
        <v>15839982.199999999</v>
      </c>
      <c r="I66" s="9">
        <f t="shared" si="45"/>
        <v>335175826.32999998</v>
      </c>
      <c r="J66" s="9">
        <f t="shared" si="43"/>
        <v>334946451.59000003</v>
      </c>
      <c r="K66" s="9">
        <f t="shared" si="39"/>
        <v>6353035.8699999452</v>
      </c>
      <c r="L66" s="20">
        <f t="shared" si="40"/>
        <v>0.98138574447538685</v>
      </c>
      <c r="M66" s="9"/>
      <c r="N66" s="9">
        <f t="shared" si="41"/>
        <v>229374.73999994993</v>
      </c>
      <c r="O66" s="20">
        <f t="shared" si="42"/>
        <v>0.99931565846346537</v>
      </c>
    </row>
    <row r="67" spans="1:15" s="34" customFormat="1" ht="15.75" hidden="1">
      <c r="A67" s="3" t="s">
        <v>6</v>
      </c>
      <c r="B67" s="14"/>
      <c r="C67" s="9"/>
      <c r="D67" s="15"/>
      <c r="E67" s="9"/>
      <c r="F67" s="15"/>
      <c r="G67" s="9"/>
      <c r="H67" s="15"/>
      <c r="I67" s="9"/>
      <c r="J67" s="9"/>
      <c r="K67" s="9"/>
      <c r="L67" s="20"/>
      <c r="M67" s="9"/>
      <c r="N67" s="9"/>
      <c r="O67" s="20"/>
    </row>
    <row r="68" spans="1:15" ht="15.75" hidden="1">
      <c r="A68" s="3" t="s">
        <v>8</v>
      </c>
      <c r="B68" s="12"/>
      <c r="C68" s="9">
        <f>80556830+2586889.46</f>
        <v>83143719.459999993</v>
      </c>
      <c r="D68" s="15">
        <f>1360875.21</f>
        <v>1360875.21</v>
      </c>
      <c r="E68" s="9">
        <f>C68+D68</f>
        <v>84504594.669999987</v>
      </c>
      <c r="F68" s="15">
        <f>144403.48-346520.8+432520.8-210500-126473.02</f>
        <v>-106569.54</v>
      </c>
      <c r="G68" s="9">
        <f>E68+F68</f>
        <v>84398025.12999998</v>
      </c>
      <c r="H68" s="15">
        <v>1465643.35</v>
      </c>
      <c r="I68" s="9">
        <f>G68+H68</f>
        <v>85863668.479999974</v>
      </c>
      <c r="J68" s="9">
        <f>83024881.69+1130516.82+537218.26+1038932.42+19500+77202.84+28535.2</f>
        <v>85856787.230000004</v>
      </c>
      <c r="K68" s="9">
        <f t="shared" si="39"/>
        <v>-2713067.7700000107</v>
      </c>
      <c r="L68" s="20">
        <f t="shared" si="40"/>
        <v>1.0326310608620926</v>
      </c>
      <c r="M68" s="9"/>
      <c r="N68" s="9">
        <f t="shared" si="41"/>
        <v>6881.2499999701977</v>
      </c>
      <c r="O68" s="20">
        <f t="shared" si="42"/>
        <v>0.99991985842065934</v>
      </c>
    </row>
    <row r="69" spans="1:15" ht="15.75" hidden="1">
      <c r="A69" s="3" t="s">
        <v>9</v>
      </c>
      <c r="B69" s="12"/>
      <c r="C69" s="9">
        <f>230498000+27657768</f>
        <v>258155768</v>
      </c>
      <c r="D69" s="15">
        <f>-23376949+922638-1692879+929241</f>
        <v>-23217949</v>
      </c>
      <c r="E69" s="9">
        <f>C69+D69</f>
        <v>234937819</v>
      </c>
      <c r="F69" s="15">
        <v>-904185.14</v>
      </c>
      <c r="G69" s="9">
        <f>E69+F69</f>
        <v>234033633.86000001</v>
      </c>
      <c r="H69" s="15">
        <f>1056220+1387680-8589499+1789477.85</f>
        <v>-4356121.1500000004</v>
      </c>
      <c r="I69" s="9">
        <f>G69+H69</f>
        <v>229677512.71000001</v>
      </c>
      <c r="J69" s="9">
        <f>208177271+2496225.36+17375390+1387680+18452.86</f>
        <v>229455019.22000003</v>
      </c>
      <c r="K69" s="9">
        <f t="shared" si="39"/>
        <v>28700748.779999971</v>
      </c>
      <c r="L69" s="20">
        <f t="shared" si="40"/>
        <v>0.88882391045393971</v>
      </c>
      <c r="M69" s="9"/>
      <c r="N69" s="9">
        <f t="shared" si="41"/>
        <v>222493.48999997973</v>
      </c>
      <c r="O69" s="20">
        <f t="shared" si="42"/>
        <v>0.99903127873784969</v>
      </c>
    </row>
    <row r="70" spans="1:15" ht="15.75" hidden="1">
      <c r="A70" s="3" t="s">
        <v>10</v>
      </c>
      <c r="B70" s="12"/>
      <c r="C70" s="9">
        <v>0</v>
      </c>
      <c r="D70" s="15"/>
      <c r="E70" s="9"/>
      <c r="F70" s="15">
        <v>904185.14</v>
      </c>
      <c r="G70" s="9">
        <f>E70+F70</f>
        <v>904185.14</v>
      </c>
      <c r="H70" s="15">
        <f>10176320+8554140</f>
        <v>18730460</v>
      </c>
      <c r="I70" s="9">
        <f>G70+H70</f>
        <v>19634645.140000001</v>
      </c>
      <c r="J70" s="9">
        <f>8554140+10176320+904185.14</f>
        <v>19634645.140000001</v>
      </c>
      <c r="K70" s="9">
        <f t="shared" si="39"/>
        <v>-19634645.140000001</v>
      </c>
      <c r="L70" s="24" t="s">
        <v>98</v>
      </c>
      <c r="M70" s="9"/>
      <c r="N70" s="9">
        <f t="shared" si="41"/>
        <v>0</v>
      </c>
      <c r="O70" s="20">
        <f t="shared" si="42"/>
        <v>1</v>
      </c>
    </row>
    <row r="71" spans="1:15" ht="15.75" hidden="1">
      <c r="A71" s="3" t="s">
        <v>20</v>
      </c>
      <c r="B71" s="12" t="s">
        <v>35</v>
      </c>
      <c r="C71" s="9">
        <f t="shared" ref="C71:I71" si="46">C72</f>
        <v>20825002</v>
      </c>
      <c r="D71" s="15">
        <f t="shared" si="46"/>
        <v>92390.57</v>
      </c>
      <c r="E71" s="9">
        <f t="shared" si="46"/>
        <v>20917392.57</v>
      </c>
      <c r="F71" s="15">
        <f t="shared" si="46"/>
        <v>-3911188.9</v>
      </c>
      <c r="G71" s="9">
        <f t="shared" si="46"/>
        <v>17006203.670000002</v>
      </c>
      <c r="H71" s="15">
        <f t="shared" si="46"/>
        <v>1314725.6299999999</v>
      </c>
      <c r="I71" s="9">
        <f t="shared" si="46"/>
        <v>18320929.300000001</v>
      </c>
      <c r="J71" s="9">
        <f>J72</f>
        <v>18320929.300000001</v>
      </c>
      <c r="K71" s="9">
        <f t="shared" si="39"/>
        <v>2504072.6999999993</v>
      </c>
      <c r="L71" s="20">
        <f t="shared" si="40"/>
        <v>0.87975642451318858</v>
      </c>
      <c r="M71" s="9"/>
      <c r="N71" s="9">
        <f t="shared" si="41"/>
        <v>0</v>
      </c>
      <c r="O71" s="20">
        <f t="shared" si="42"/>
        <v>1</v>
      </c>
    </row>
    <row r="72" spans="1:15" ht="15.75" hidden="1">
      <c r="A72" s="3" t="s">
        <v>7</v>
      </c>
      <c r="B72" s="12"/>
      <c r="C72" s="9">
        <v>20825002</v>
      </c>
      <c r="D72" s="15">
        <v>92390.57</v>
      </c>
      <c r="E72" s="9">
        <f>C72+D72</f>
        <v>20917392.57</v>
      </c>
      <c r="F72" s="15">
        <v>-3911188.9</v>
      </c>
      <c r="G72" s="9">
        <f>E72+F72</f>
        <v>17006203.670000002</v>
      </c>
      <c r="H72" s="15">
        <v>1314725.6299999999</v>
      </c>
      <c r="I72" s="9">
        <f>G72+H72</f>
        <v>18320929.300000001</v>
      </c>
      <c r="J72" s="9">
        <v>18320929.300000001</v>
      </c>
      <c r="K72" s="9">
        <f t="shared" si="39"/>
        <v>2504072.6999999993</v>
      </c>
      <c r="L72" s="20">
        <f t="shared" si="40"/>
        <v>0.87975642451318858</v>
      </c>
      <c r="M72" s="9"/>
      <c r="N72" s="9">
        <f t="shared" si="41"/>
        <v>0</v>
      </c>
      <c r="O72" s="20">
        <f t="shared" si="42"/>
        <v>1</v>
      </c>
    </row>
    <row r="73" spans="1:15" ht="15.75" hidden="1">
      <c r="A73" s="3" t="s">
        <v>13</v>
      </c>
      <c r="B73" s="12" t="s">
        <v>36</v>
      </c>
      <c r="C73" s="9">
        <f t="shared" ref="C73:I73" si="47">C75+C76</f>
        <v>32971060</v>
      </c>
      <c r="D73" s="15">
        <f t="shared" si="47"/>
        <v>-41048.090000000011</v>
      </c>
      <c r="E73" s="9">
        <f t="shared" si="47"/>
        <v>32930011.91</v>
      </c>
      <c r="F73" s="15">
        <f t="shared" si="47"/>
        <v>863712.08000000007</v>
      </c>
      <c r="G73" s="9">
        <f t="shared" si="47"/>
        <v>33793723.989999995</v>
      </c>
      <c r="H73" s="15">
        <f t="shared" si="47"/>
        <v>-9549805.9700000007</v>
      </c>
      <c r="I73" s="9">
        <f t="shared" si="47"/>
        <v>24243918.019999996</v>
      </c>
      <c r="J73" s="9">
        <f t="shared" ref="J73" si="48">J75+J76</f>
        <v>24120918.18</v>
      </c>
      <c r="K73" s="9">
        <f t="shared" si="39"/>
        <v>8850141.8200000003</v>
      </c>
      <c r="L73" s="20">
        <f t="shared" si="40"/>
        <v>0.73157848670925352</v>
      </c>
      <c r="M73" s="9"/>
      <c r="N73" s="9">
        <f t="shared" si="41"/>
        <v>122999.83999999613</v>
      </c>
      <c r="O73" s="20">
        <f t="shared" si="42"/>
        <v>0.99492656921630707</v>
      </c>
    </row>
    <row r="74" spans="1:15" s="34" customFormat="1" ht="15.75" hidden="1">
      <c r="A74" s="3" t="s">
        <v>6</v>
      </c>
      <c r="B74" s="14"/>
      <c r="C74" s="9"/>
      <c r="D74" s="15"/>
      <c r="E74" s="9"/>
      <c r="F74" s="15"/>
      <c r="G74" s="9"/>
      <c r="H74" s="15"/>
      <c r="I74" s="9"/>
      <c r="J74" s="9"/>
      <c r="K74" s="9"/>
      <c r="L74" s="20"/>
      <c r="M74" s="9"/>
      <c r="N74" s="9"/>
      <c r="O74" s="20"/>
    </row>
    <row r="75" spans="1:15" ht="15.75" hidden="1">
      <c r="A75" s="3" t="s">
        <v>8</v>
      </c>
      <c r="B75" s="12"/>
      <c r="C75" s="9">
        <f>16478732+395270+6200000</f>
        <v>23074002</v>
      </c>
      <c r="D75" s="15">
        <f>4737.98-120530.49+14213.93+120530.49</f>
        <v>18951.909999999989</v>
      </c>
      <c r="E75" s="9">
        <f>C75+D75</f>
        <v>23092953.91</v>
      </c>
      <c r="F75" s="15">
        <f>54050.64-124830.49+235568.44+120530.49</f>
        <v>285319.08</v>
      </c>
      <c r="G75" s="9">
        <f>E75+F75</f>
        <v>23378272.989999998</v>
      </c>
      <c r="H75" s="15">
        <f>-395270-27199.71+27199.71</f>
        <v>-395270</v>
      </c>
      <c r="I75" s="9">
        <f>G75+H75</f>
        <v>22983002.989999998</v>
      </c>
      <c r="J75" s="9">
        <v>22982990.18</v>
      </c>
      <c r="K75" s="9">
        <f t="shared" si="39"/>
        <v>91011.820000000298</v>
      </c>
      <c r="L75" s="20">
        <f t="shared" si="40"/>
        <v>0.99605565519150074</v>
      </c>
      <c r="M75" s="9"/>
      <c r="N75" s="9">
        <f t="shared" si="41"/>
        <v>12.809999998658895</v>
      </c>
      <c r="O75" s="20">
        <f t="shared" si="42"/>
        <v>0.9999994426315828</v>
      </c>
    </row>
    <row r="76" spans="1:15" ht="15.75" hidden="1">
      <c r="A76" s="3" t="s">
        <v>9</v>
      </c>
      <c r="B76" s="12"/>
      <c r="C76" s="9">
        <f>5582058+3860000+455000</f>
        <v>9897058</v>
      </c>
      <c r="D76" s="15">
        <v>-60000</v>
      </c>
      <c r="E76" s="9">
        <f>C76+D76</f>
        <v>9837058</v>
      </c>
      <c r="F76" s="15">
        <f>578393</f>
        <v>578393</v>
      </c>
      <c r="G76" s="9">
        <f>E76+F76</f>
        <v>10415451</v>
      </c>
      <c r="H76" s="15">
        <v>-9154535.9700000007</v>
      </c>
      <c r="I76" s="9">
        <f>G76+H76</f>
        <v>1260915.0299999993</v>
      </c>
      <c r="J76" s="9">
        <f>59118+1078810</f>
        <v>1137928</v>
      </c>
      <c r="K76" s="9">
        <f t="shared" si="39"/>
        <v>8759130</v>
      </c>
      <c r="L76" s="20">
        <f t="shared" si="40"/>
        <v>0.11497638995345889</v>
      </c>
      <c r="M76" s="9"/>
      <c r="N76" s="9">
        <f t="shared" si="41"/>
        <v>122987.02999999933</v>
      </c>
      <c r="O76" s="20">
        <f t="shared" si="42"/>
        <v>0.90246207946303936</v>
      </c>
    </row>
    <row r="77" spans="1:15" s="34" customFormat="1" ht="78.75">
      <c r="A77" s="32" t="s">
        <v>31</v>
      </c>
      <c r="B77" s="33" t="s">
        <v>27</v>
      </c>
      <c r="C77" s="9">
        <f t="shared" ref="C77:I77" si="49">C78+C82+C84</f>
        <v>75116760</v>
      </c>
      <c r="D77" s="15">
        <f t="shared" si="49"/>
        <v>411074</v>
      </c>
      <c r="E77" s="9">
        <f t="shared" si="49"/>
        <v>75527834</v>
      </c>
      <c r="F77" s="15">
        <f t="shared" si="49"/>
        <v>124377311.52000001</v>
      </c>
      <c r="G77" s="9">
        <f t="shared" si="49"/>
        <v>199905145.51999998</v>
      </c>
      <c r="H77" s="15">
        <f t="shared" si="49"/>
        <v>-11898.67</v>
      </c>
      <c r="I77" s="9">
        <f t="shared" si="49"/>
        <v>199893246.85000002</v>
      </c>
      <c r="J77" s="9">
        <f t="shared" ref="J77" si="50">J78+J82+J84</f>
        <v>189801293.28999999</v>
      </c>
      <c r="K77" s="9">
        <f t="shared" si="39"/>
        <v>-114684533.28999999</v>
      </c>
      <c r="L77" s="20">
        <f t="shared" si="40"/>
        <v>2.5267502657196608</v>
      </c>
      <c r="M77" s="29" t="s">
        <v>108</v>
      </c>
      <c r="N77" s="9">
        <f t="shared" si="41"/>
        <v>10091953.560000032</v>
      </c>
      <c r="O77" s="20">
        <f t="shared" si="42"/>
        <v>0.94951328412023328</v>
      </c>
    </row>
    <row r="78" spans="1:15" ht="45.75" hidden="1" customHeight="1">
      <c r="A78" s="3" t="s">
        <v>14</v>
      </c>
      <c r="B78" s="12" t="s">
        <v>28</v>
      </c>
      <c r="C78" s="9">
        <f t="shared" ref="C78:I78" si="51">C80+C81</f>
        <v>57486000</v>
      </c>
      <c r="D78" s="15">
        <f t="shared" si="51"/>
        <v>0</v>
      </c>
      <c r="E78" s="9">
        <f t="shared" si="51"/>
        <v>57486000</v>
      </c>
      <c r="F78" s="15">
        <f t="shared" si="51"/>
        <v>123756481.88000001</v>
      </c>
      <c r="G78" s="9">
        <f t="shared" si="51"/>
        <v>181242481.88</v>
      </c>
      <c r="H78" s="15">
        <f t="shared" si="51"/>
        <v>-11898.67</v>
      </c>
      <c r="I78" s="9">
        <f t="shared" si="51"/>
        <v>181230583.21000001</v>
      </c>
      <c r="J78" s="9">
        <f t="shared" ref="J78" si="52">J80+J81</f>
        <v>174789094.38999999</v>
      </c>
      <c r="K78" s="9">
        <f t="shared" si="39"/>
        <v>-117303094.38999999</v>
      </c>
      <c r="L78" s="20">
        <f t="shared" si="40"/>
        <v>3.0405506452005704</v>
      </c>
      <c r="M78" s="9"/>
      <c r="N78" s="9">
        <f t="shared" si="41"/>
        <v>6441488.8200000226</v>
      </c>
      <c r="O78" s="20">
        <f t="shared" si="42"/>
        <v>0.96445694371277291</v>
      </c>
    </row>
    <row r="79" spans="1:15" ht="15.75" hidden="1">
      <c r="A79" s="3" t="s">
        <v>6</v>
      </c>
      <c r="B79" s="12"/>
      <c r="C79" s="9"/>
      <c r="D79" s="15"/>
      <c r="E79" s="9"/>
      <c r="F79" s="15"/>
      <c r="G79" s="9"/>
      <c r="H79" s="15"/>
      <c r="I79" s="9"/>
      <c r="J79" s="9"/>
      <c r="K79" s="9"/>
      <c r="L79" s="20"/>
      <c r="M79" s="9"/>
      <c r="N79" s="9"/>
      <c r="O79" s="20"/>
    </row>
    <row r="80" spans="1:15" ht="15.75" hidden="1">
      <c r="A80" s="10" t="s">
        <v>8</v>
      </c>
      <c r="B80" s="12"/>
      <c r="C80" s="9">
        <f>10849195.88+1500000+14200000+300000+204845.36+117958.76+10500000</f>
        <v>37672000</v>
      </c>
      <c r="D80" s="15"/>
      <c r="E80" s="9">
        <f>C80+D80</f>
        <v>37672000</v>
      </c>
      <c r="F80" s="15">
        <f>-2955847.37+4000000+2955847.37+2436429-87095.75-8160000+750000+877342.51</f>
        <v>-183324.24</v>
      </c>
      <c r="G80" s="9">
        <f>E80+F80</f>
        <v>37488675.759999998</v>
      </c>
      <c r="H80" s="15"/>
      <c r="I80" s="9">
        <f>G80+H80</f>
        <v>37488675.759999998</v>
      </c>
      <c r="J80" s="9">
        <f>7850308.37+1453416+15536182.32+298750+3164917.87+117958.76+2625653.62</f>
        <v>31047186.940000005</v>
      </c>
      <c r="K80" s="9">
        <f t="shared" si="39"/>
        <v>6624813.0599999949</v>
      </c>
      <c r="L80" s="20">
        <f t="shared" si="40"/>
        <v>0.82414490709280119</v>
      </c>
      <c r="M80" s="9"/>
      <c r="N80" s="9">
        <f t="shared" si="41"/>
        <v>6441488.8199999928</v>
      </c>
      <c r="O80" s="20">
        <f t="shared" si="42"/>
        <v>0.82817507715561967</v>
      </c>
    </row>
    <row r="81" spans="1:15" ht="15.75" hidden="1">
      <c r="A81" s="3" t="s">
        <v>9</v>
      </c>
      <c r="B81" s="12"/>
      <c r="C81" s="9">
        <f>3814000+16000000</f>
        <v>19814000</v>
      </c>
      <c r="D81" s="15"/>
      <c r="E81" s="9">
        <f>C81+D81</f>
        <v>19814000</v>
      </c>
      <c r="F81" s="15">
        <v>123939806.12</v>
      </c>
      <c r="G81" s="9">
        <f>E81+F81</f>
        <v>143753806.12</v>
      </c>
      <c r="H81" s="15">
        <v>-11898.67</v>
      </c>
      <c r="I81" s="9">
        <f>G81+H81</f>
        <v>143741907.45000002</v>
      </c>
      <c r="J81" s="9">
        <f>139927907.45+3814000</f>
        <v>143741907.44999999</v>
      </c>
      <c r="K81" s="9">
        <f t="shared" si="39"/>
        <v>-123927907.44999999</v>
      </c>
      <c r="L81" s="20">
        <f t="shared" si="40"/>
        <v>7.2545628066013927</v>
      </c>
      <c r="M81" s="9"/>
      <c r="N81" s="9">
        <f t="shared" si="41"/>
        <v>0</v>
      </c>
      <c r="O81" s="20">
        <f t="shared" si="42"/>
        <v>0.99999999999999978</v>
      </c>
    </row>
    <row r="82" spans="1:15" ht="31.5" hidden="1">
      <c r="A82" s="3" t="s">
        <v>15</v>
      </c>
      <c r="B82" s="12" t="s">
        <v>29</v>
      </c>
      <c r="C82" s="9">
        <f t="shared" ref="C82:I82" si="53">C83</f>
        <v>11130760</v>
      </c>
      <c r="D82" s="15">
        <f t="shared" si="53"/>
        <v>411074</v>
      </c>
      <c r="E82" s="9">
        <f t="shared" si="53"/>
        <v>11541834</v>
      </c>
      <c r="F82" s="15">
        <f t="shared" si="53"/>
        <v>4220829.6400000006</v>
      </c>
      <c r="G82" s="9">
        <f t="shared" si="53"/>
        <v>15762663.640000001</v>
      </c>
      <c r="H82" s="15">
        <f t="shared" si="53"/>
        <v>0</v>
      </c>
      <c r="I82" s="9">
        <f t="shared" si="53"/>
        <v>15762663.640000001</v>
      </c>
      <c r="J82" s="9">
        <f>J83</f>
        <v>12850200</v>
      </c>
      <c r="K82" s="9">
        <f t="shared" si="39"/>
        <v>-1719440</v>
      </c>
      <c r="L82" s="20">
        <f t="shared" si="40"/>
        <v>1.1544764238919893</v>
      </c>
      <c r="M82" s="9"/>
      <c r="N82" s="9">
        <f t="shared" si="41"/>
        <v>2912463.6400000006</v>
      </c>
      <c r="O82" s="20">
        <f t="shared" si="42"/>
        <v>0.81523023604911482</v>
      </c>
    </row>
    <row r="83" spans="1:15" ht="15.75" hidden="1">
      <c r="A83" s="10" t="s">
        <v>7</v>
      </c>
      <c r="B83" s="12"/>
      <c r="C83" s="9">
        <v>11130760</v>
      </c>
      <c r="D83" s="15">
        <v>411074</v>
      </c>
      <c r="E83" s="9">
        <f>C83+D83</f>
        <v>11541834</v>
      </c>
      <c r="F83" s="15">
        <f>120500+1100000+2550329.64+450000</f>
        <v>4220829.6400000006</v>
      </c>
      <c r="G83" s="9">
        <f>E83+F83</f>
        <v>15762663.640000001</v>
      </c>
      <c r="H83" s="15"/>
      <c r="I83" s="9">
        <f>G83+H83</f>
        <v>15762663.640000001</v>
      </c>
      <c r="J83" s="9">
        <v>12850200</v>
      </c>
      <c r="K83" s="9">
        <f t="shared" si="39"/>
        <v>-1719440</v>
      </c>
      <c r="L83" s="20">
        <f t="shared" si="40"/>
        <v>1.1544764238919893</v>
      </c>
      <c r="M83" s="9"/>
      <c r="N83" s="9">
        <f t="shared" si="41"/>
        <v>2912463.6400000006</v>
      </c>
      <c r="O83" s="20">
        <f t="shared" si="42"/>
        <v>0.81523023604911482</v>
      </c>
    </row>
    <row r="84" spans="1:15" ht="15.75" hidden="1">
      <c r="A84" s="3" t="s">
        <v>13</v>
      </c>
      <c r="B84" s="12" t="s">
        <v>30</v>
      </c>
      <c r="C84" s="9">
        <f t="shared" ref="C84:I84" si="54">C85</f>
        <v>6500000</v>
      </c>
      <c r="D84" s="15">
        <f t="shared" si="54"/>
        <v>0</v>
      </c>
      <c r="E84" s="9">
        <f t="shared" si="54"/>
        <v>6500000</v>
      </c>
      <c r="F84" s="15">
        <f t="shared" si="54"/>
        <v>-3600000</v>
      </c>
      <c r="G84" s="9">
        <f t="shared" si="54"/>
        <v>2900000</v>
      </c>
      <c r="H84" s="15">
        <f t="shared" si="54"/>
        <v>0</v>
      </c>
      <c r="I84" s="9">
        <f t="shared" si="54"/>
        <v>2900000</v>
      </c>
      <c r="J84" s="9">
        <f>J85</f>
        <v>2161998.9</v>
      </c>
      <c r="K84" s="9">
        <f t="shared" si="39"/>
        <v>4338001.0999999996</v>
      </c>
      <c r="L84" s="20">
        <f t="shared" si="40"/>
        <v>0.33261521538461536</v>
      </c>
      <c r="M84" s="9"/>
      <c r="N84" s="9">
        <f t="shared" si="41"/>
        <v>738001.10000000009</v>
      </c>
      <c r="O84" s="20">
        <f t="shared" si="42"/>
        <v>0.7455168620689655</v>
      </c>
    </row>
    <row r="85" spans="1:15" ht="15.75" hidden="1">
      <c r="A85" s="10" t="s">
        <v>7</v>
      </c>
      <c r="B85" s="12"/>
      <c r="C85" s="9">
        <v>6500000</v>
      </c>
      <c r="D85" s="15"/>
      <c r="E85" s="9">
        <f>C85+D85</f>
        <v>6500000</v>
      </c>
      <c r="F85" s="15">
        <v>-3600000</v>
      </c>
      <c r="G85" s="9">
        <f>E85+F85</f>
        <v>2900000</v>
      </c>
      <c r="H85" s="15"/>
      <c r="I85" s="9">
        <f>G85+H85</f>
        <v>2900000</v>
      </c>
      <c r="J85" s="9">
        <v>2161998.9</v>
      </c>
      <c r="K85" s="9">
        <f t="shared" si="39"/>
        <v>4338001.0999999996</v>
      </c>
      <c r="L85" s="20">
        <f t="shared" si="40"/>
        <v>0.33261521538461536</v>
      </c>
      <c r="M85" s="9"/>
      <c r="N85" s="9">
        <f t="shared" si="41"/>
        <v>738001.10000000009</v>
      </c>
      <c r="O85" s="20">
        <f t="shared" si="42"/>
        <v>0.7455168620689655</v>
      </c>
    </row>
    <row r="86" spans="1:15" s="34" customFormat="1" ht="78.75">
      <c r="A86" s="32" t="s">
        <v>48</v>
      </c>
      <c r="B86" s="33" t="s">
        <v>49</v>
      </c>
      <c r="C86" s="9">
        <f t="shared" ref="C86:I86" si="55">C88+C89+C90</f>
        <v>1175496.69</v>
      </c>
      <c r="D86" s="15">
        <f t="shared" si="55"/>
        <v>1434744.51</v>
      </c>
      <c r="E86" s="9">
        <f t="shared" si="55"/>
        <v>2610241.2000000002</v>
      </c>
      <c r="F86" s="15">
        <f t="shared" si="55"/>
        <v>-690946.2</v>
      </c>
      <c r="G86" s="9">
        <f t="shared" si="55"/>
        <v>1919295</v>
      </c>
      <c r="H86" s="15">
        <f t="shared" si="55"/>
        <v>0</v>
      </c>
      <c r="I86" s="9">
        <f t="shared" si="55"/>
        <v>1919295</v>
      </c>
      <c r="J86" s="9">
        <f t="shared" ref="J86" si="56">J88+J89+J90</f>
        <v>1919295</v>
      </c>
      <c r="K86" s="9">
        <f t="shared" si="39"/>
        <v>-743798.31</v>
      </c>
      <c r="L86" s="20">
        <f t="shared" si="40"/>
        <v>1.6327523644494482</v>
      </c>
      <c r="M86" s="9" t="s">
        <v>109</v>
      </c>
      <c r="N86" s="9">
        <f t="shared" si="41"/>
        <v>0</v>
      </c>
      <c r="O86" s="20">
        <f t="shared" si="42"/>
        <v>1</v>
      </c>
    </row>
    <row r="87" spans="1:15" s="34" customFormat="1" ht="15.75" hidden="1">
      <c r="A87" s="3" t="s">
        <v>6</v>
      </c>
      <c r="B87" s="14"/>
      <c r="C87" s="9"/>
      <c r="D87" s="15"/>
      <c r="E87" s="9"/>
      <c r="F87" s="15"/>
      <c r="G87" s="9"/>
      <c r="H87" s="15"/>
      <c r="I87" s="9"/>
      <c r="J87" s="9"/>
      <c r="K87" s="9"/>
      <c r="L87" s="20"/>
      <c r="M87" s="9"/>
      <c r="N87" s="9"/>
      <c r="O87" s="20"/>
    </row>
    <row r="88" spans="1:15" ht="15.75" hidden="1">
      <c r="A88" s="10" t="s">
        <v>8</v>
      </c>
      <c r="B88" s="12"/>
      <c r="C88" s="9">
        <v>575000</v>
      </c>
      <c r="D88" s="15"/>
      <c r="E88" s="9">
        <f>C88+D88</f>
        <v>575000</v>
      </c>
      <c r="F88" s="15"/>
      <c r="G88" s="9">
        <f>E88+F88</f>
        <v>575000</v>
      </c>
      <c r="H88" s="15"/>
      <c r="I88" s="9">
        <f>G88+H88</f>
        <v>575000</v>
      </c>
      <c r="J88" s="9">
        <v>575000</v>
      </c>
      <c r="K88" s="9">
        <f t="shared" si="39"/>
        <v>0</v>
      </c>
      <c r="L88" s="20">
        <f t="shared" si="40"/>
        <v>1</v>
      </c>
      <c r="M88" s="9"/>
      <c r="N88" s="9">
        <f t="shared" si="41"/>
        <v>0</v>
      </c>
      <c r="O88" s="20">
        <f t="shared" si="42"/>
        <v>1</v>
      </c>
    </row>
    <row r="89" spans="1:15" ht="15.75" hidden="1">
      <c r="A89" s="3" t="s">
        <v>9</v>
      </c>
      <c r="B89" s="12"/>
      <c r="C89" s="9">
        <v>600496.68999999994</v>
      </c>
      <c r="D89" s="15">
        <f>1030442.62-600496.69</f>
        <v>429945.93000000005</v>
      </c>
      <c r="E89" s="9">
        <f>C89+D89</f>
        <v>1030442.62</v>
      </c>
      <c r="F89" s="15">
        <v>-349826.06</v>
      </c>
      <c r="G89" s="9">
        <f>E89+F89</f>
        <v>680616.56</v>
      </c>
      <c r="H89" s="15"/>
      <c r="I89" s="9">
        <f>G89+H89</f>
        <v>680616.56</v>
      </c>
      <c r="J89" s="9">
        <v>680616.56</v>
      </c>
      <c r="K89" s="9">
        <f t="shared" si="39"/>
        <v>-80119.870000000112</v>
      </c>
      <c r="L89" s="20">
        <f t="shared" si="40"/>
        <v>1.1334226671590815</v>
      </c>
      <c r="M89" s="9"/>
      <c r="N89" s="9">
        <f t="shared" si="41"/>
        <v>0</v>
      </c>
      <c r="O89" s="20">
        <f t="shared" si="42"/>
        <v>1</v>
      </c>
    </row>
    <row r="90" spans="1:15" ht="15.75" hidden="1">
      <c r="A90" s="3" t="s">
        <v>10</v>
      </c>
      <c r="B90" s="12"/>
      <c r="C90" s="9">
        <v>0</v>
      </c>
      <c r="D90" s="17">
        <v>1004798.58</v>
      </c>
      <c r="E90" s="9">
        <f>C90+D90</f>
        <v>1004798.58</v>
      </c>
      <c r="F90" s="15">
        <v>-341120.14</v>
      </c>
      <c r="G90" s="9">
        <f>E90+F90</f>
        <v>663678.43999999994</v>
      </c>
      <c r="H90" s="15"/>
      <c r="I90" s="9">
        <f>G90+H90</f>
        <v>663678.43999999994</v>
      </c>
      <c r="J90" s="9">
        <v>663678.43999999994</v>
      </c>
      <c r="K90" s="9">
        <f t="shared" si="39"/>
        <v>-663678.43999999994</v>
      </c>
      <c r="L90" s="24" t="s">
        <v>98</v>
      </c>
      <c r="M90" s="9"/>
      <c r="N90" s="9">
        <f t="shared" si="41"/>
        <v>0</v>
      </c>
      <c r="O90" s="20">
        <f t="shared" si="42"/>
        <v>1</v>
      </c>
    </row>
    <row r="91" spans="1:15" s="34" customFormat="1" ht="78.75">
      <c r="A91" s="32" t="s">
        <v>50</v>
      </c>
      <c r="B91" s="33" t="s">
        <v>51</v>
      </c>
      <c r="C91" s="9">
        <f t="shared" ref="C91:I91" si="57">C92</f>
        <v>4339500</v>
      </c>
      <c r="D91" s="15">
        <f t="shared" si="57"/>
        <v>0</v>
      </c>
      <c r="E91" s="9">
        <f t="shared" si="57"/>
        <v>4339500</v>
      </c>
      <c r="F91" s="15">
        <f t="shared" si="57"/>
        <v>-1100000</v>
      </c>
      <c r="G91" s="9">
        <f t="shared" si="57"/>
        <v>3239500</v>
      </c>
      <c r="H91" s="15">
        <f t="shared" si="57"/>
        <v>0</v>
      </c>
      <c r="I91" s="9">
        <f t="shared" si="57"/>
        <v>3239500</v>
      </c>
      <c r="J91" s="9">
        <f>J92</f>
        <v>3239500</v>
      </c>
      <c r="K91" s="9">
        <f t="shared" si="39"/>
        <v>1100000</v>
      </c>
      <c r="L91" s="20">
        <f t="shared" si="40"/>
        <v>0.74651457541191379</v>
      </c>
      <c r="M91" s="9" t="s">
        <v>110</v>
      </c>
      <c r="N91" s="9">
        <f t="shared" si="41"/>
        <v>0</v>
      </c>
      <c r="O91" s="20">
        <f t="shared" si="42"/>
        <v>1</v>
      </c>
    </row>
    <row r="92" spans="1:15" ht="15.75" hidden="1">
      <c r="A92" s="10" t="s">
        <v>7</v>
      </c>
      <c r="B92" s="12"/>
      <c r="C92" s="9">
        <v>4339500</v>
      </c>
      <c r="D92" s="15"/>
      <c r="E92" s="9">
        <f>C92+D92</f>
        <v>4339500</v>
      </c>
      <c r="F92" s="15">
        <f>200000-1300000</f>
        <v>-1100000</v>
      </c>
      <c r="G92" s="9">
        <f>E92+F92</f>
        <v>3239500</v>
      </c>
      <c r="H92" s="15"/>
      <c r="I92" s="9">
        <f>G92+H92</f>
        <v>3239500</v>
      </c>
      <c r="J92" s="9">
        <v>3239500</v>
      </c>
      <c r="K92" s="9">
        <f t="shared" si="39"/>
        <v>1100000</v>
      </c>
      <c r="L92" s="20">
        <f t="shared" si="40"/>
        <v>0.74651457541191379</v>
      </c>
      <c r="M92" s="9"/>
      <c r="N92" s="9">
        <f t="shared" si="41"/>
        <v>0</v>
      </c>
      <c r="O92" s="20">
        <f t="shared" si="42"/>
        <v>1</v>
      </c>
    </row>
    <row r="93" spans="1:15" s="34" customFormat="1" ht="63">
      <c r="A93" s="32" t="s">
        <v>52</v>
      </c>
      <c r="B93" s="33" t="s">
        <v>53</v>
      </c>
      <c r="C93" s="9">
        <f t="shared" ref="C93:I93" si="58">C94</f>
        <v>2000000</v>
      </c>
      <c r="D93" s="15">
        <f t="shared" si="58"/>
        <v>0</v>
      </c>
      <c r="E93" s="9">
        <f t="shared" si="58"/>
        <v>2000000</v>
      </c>
      <c r="F93" s="15">
        <f t="shared" si="58"/>
        <v>750000</v>
      </c>
      <c r="G93" s="9">
        <f t="shared" si="58"/>
        <v>2750000</v>
      </c>
      <c r="H93" s="15">
        <f t="shared" si="58"/>
        <v>0</v>
      </c>
      <c r="I93" s="9">
        <f t="shared" si="58"/>
        <v>2750000</v>
      </c>
      <c r="J93" s="9">
        <f>J94</f>
        <v>1919866.66</v>
      </c>
      <c r="K93" s="9">
        <f t="shared" si="39"/>
        <v>80133.340000000084</v>
      </c>
      <c r="L93" s="20">
        <f t="shared" si="40"/>
        <v>0.95993332999999992</v>
      </c>
      <c r="M93" s="9" t="s">
        <v>110</v>
      </c>
      <c r="N93" s="9">
        <f t="shared" si="41"/>
        <v>830133.34000000008</v>
      </c>
      <c r="O93" s="20">
        <f t="shared" si="42"/>
        <v>0.69813333090909091</v>
      </c>
    </row>
    <row r="94" spans="1:15" ht="15.75" hidden="1">
      <c r="A94" s="10" t="s">
        <v>7</v>
      </c>
      <c r="B94" s="12"/>
      <c r="C94" s="9">
        <f>10000+1990000</f>
        <v>2000000</v>
      </c>
      <c r="D94" s="15"/>
      <c r="E94" s="9">
        <f>C94+D94</f>
        <v>2000000</v>
      </c>
      <c r="F94" s="15">
        <f>750000</f>
        <v>750000</v>
      </c>
      <c r="G94" s="9">
        <f>E94+F94</f>
        <v>2750000</v>
      </c>
      <c r="H94" s="15">
        <v>0</v>
      </c>
      <c r="I94" s="9">
        <f>G94+H94</f>
        <v>2750000</v>
      </c>
      <c r="J94" s="9">
        <v>1919866.66</v>
      </c>
      <c r="K94" s="9">
        <f t="shared" si="39"/>
        <v>80133.340000000084</v>
      </c>
      <c r="L94" s="20">
        <f t="shared" si="40"/>
        <v>0.95993332999999992</v>
      </c>
      <c r="M94" s="9"/>
      <c r="N94" s="9">
        <f t="shared" si="41"/>
        <v>830133.34000000008</v>
      </c>
      <c r="O94" s="20">
        <f t="shared" si="42"/>
        <v>0.69813333090909091</v>
      </c>
    </row>
    <row r="95" spans="1:15" ht="63.75" customHeight="1">
      <c r="A95" s="32" t="s">
        <v>56</v>
      </c>
      <c r="B95" s="33" t="s">
        <v>57</v>
      </c>
      <c r="C95" s="9">
        <f t="shared" ref="C95:J95" si="59">SUM(C97:C99)</f>
        <v>100000</v>
      </c>
      <c r="D95" s="15">
        <f t="shared" si="59"/>
        <v>0</v>
      </c>
      <c r="E95" s="9">
        <f t="shared" si="59"/>
        <v>100000</v>
      </c>
      <c r="F95" s="15">
        <f t="shared" ref="F95:G95" si="60">SUM(F97:F99)</f>
        <v>0</v>
      </c>
      <c r="G95" s="9">
        <f t="shared" si="60"/>
        <v>100000</v>
      </c>
      <c r="H95" s="15">
        <f t="shared" ref="H95:I95" si="61">SUM(H97:H99)</f>
        <v>0</v>
      </c>
      <c r="I95" s="9">
        <f t="shared" si="61"/>
        <v>100000</v>
      </c>
      <c r="J95" s="9">
        <f t="shared" si="59"/>
        <v>99600</v>
      </c>
      <c r="K95" s="9">
        <f t="shared" si="39"/>
        <v>400</v>
      </c>
      <c r="L95" s="20">
        <f t="shared" si="40"/>
        <v>0.996</v>
      </c>
      <c r="M95" s="9"/>
      <c r="N95" s="9">
        <f t="shared" si="41"/>
        <v>400</v>
      </c>
      <c r="O95" s="20">
        <f t="shared" si="42"/>
        <v>0.996</v>
      </c>
    </row>
    <row r="96" spans="1:15" ht="15.75" hidden="1">
      <c r="A96" s="10"/>
      <c r="B96" s="14"/>
      <c r="C96" s="9"/>
      <c r="D96" s="15"/>
      <c r="E96" s="9"/>
      <c r="F96" s="15"/>
      <c r="G96" s="9"/>
      <c r="H96" s="15"/>
      <c r="I96" s="9"/>
      <c r="J96" s="9"/>
      <c r="K96" s="9">
        <f t="shared" si="39"/>
        <v>0</v>
      </c>
      <c r="L96" s="20" t="e">
        <f t="shared" si="40"/>
        <v>#DIV/0!</v>
      </c>
      <c r="M96" s="9"/>
      <c r="N96" s="9">
        <f t="shared" si="41"/>
        <v>0</v>
      </c>
      <c r="O96" s="20" t="e">
        <f t="shared" si="42"/>
        <v>#DIV/0!</v>
      </c>
    </row>
    <row r="97" spans="1:15" ht="15.75" hidden="1">
      <c r="A97" s="3" t="s">
        <v>58</v>
      </c>
      <c r="B97" s="12"/>
      <c r="C97" s="9">
        <v>100000</v>
      </c>
      <c r="D97" s="15"/>
      <c r="E97" s="9">
        <f>C97+D97</f>
        <v>100000</v>
      </c>
      <c r="F97" s="15"/>
      <c r="G97" s="9">
        <f>E97+F97</f>
        <v>100000</v>
      </c>
      <c r="H97" s="15"/>
      <c r="I97" s="9">
        <f>G97+H97</f>
        <v>100000</v>
      </c>
      <c r="J97" s="9">
        <v>99600</v>
      </c>
      <c r="K97" s="9">
        <f t="shared" si="39"/>
        <v>400</v>
      </c>
      <c r="L97" s="20">
        <f t="shared" si="40"/>
        <v>0.996</v>
      </c>
      <c r="M97" s="9"/>
      <c r="N97" s="9">
        <f t="shared" si="41"/>
        <v>400</v>
      </c>
      <c r="O97" s="20">
        <f t="shared" si="42"/>
        <v>0.996</v>
      </c>
    </row>
    <row r="98" spans="1:15" ht="15.75" hidden="1">
      <c r="A98" s="3" t="s">
        <v>9</v>
      </c>
      <c r="B98" s="12"/>
      <c r="C98" s="13"/>
      <c r="D98" s="17"/>
      <c r="E98" s="13"/>
      <c r="F98" s="17"/>
      <c r="G98" s="13"/>
      <c r="H98" s="17"/>
      <c r="I98" s="13"/>
      <c r="J98" s="13"/>
      <c r="K98" s="13">
        <f t="shared" si="39"/>
        <v>0</v>
      </c>
      <c r="L98" s="22" t="e">
        <f t="shared" si="40"/>
        <v>#DIV/0!</v>
      </c>
      <c r="M98" s="13"/>
      <c r="N98" s="13">
        <f t="shared" si="41"/>
        <v>0</v>
      </c>
      <c r="O98" s="22" t="e">
        <f t="shared" si="42"/>
        <v>#DIV/0!</v>
      </c>
    </row>
    <row r="99" spans="1:15" ht="15.75" hidden="1">
      <c r="A99" s="3" t="s">
        <v>10</v>
      </c>
      <c r="B99" s="12"/>
      <c r="C99" s="13"/>
      <c r="D99" s="17"/>
      <c r="E99" s="13"/>
      <c r="F99" s="17"/>
      <c r="G99" s="13"/>
      <c r="H99" s="17"/>
      <c r="I99" s="13"/>
      <c r="J99" s="13"/>
      <c r="K99" s="13">
        <f t="shared" si="39"/>
        <v>0</v>
      </c>
      <c r="L99" s="22" t="e">
        <f t="shared" si="40"/>
        <v>#DIV/0!</v>
      </c>
      <c r="M99" s="13"/>
      <c r="N99" s="13">
        <f t="shared" si="41"/>
        <v>0</v>
      </c>
      <c r="O99" s="22" t="e">
        <f t="shared" si="42"/>
        <v>#DIV/0!</v>
      </c>
    </row>
    <row r="100" spans="1:15" ht="78.75">
      <c r="A100" s="3" t="s">
        <v>69</v>
      </c>
      <c r="B100" s="33" t="s">
        <v>60</v>
      </c>
      <c r="C100" s="9">
        <f t="shared" ref="C100:J100" si="62">C101+C106+C111</f>
        <v>2654000</v>
      </c>
      <c r="D100" s="15">
        <f t="shared" si="62"/>
        <v>44712220.010000005</v>
      </c>
      <c r="E100" s="9">
        <f t="shared" si="62"/>
        <v>47366220.009999998</v>
      </c>
      <c r="F100" s="15">
        <f t="shared" ref="F100:G100" si="63">F101+F106+F111</f>
        <v>412258.28</v>
      </c>
      <c r="G100" s="9">
        <f t="shared" si="63"/>
        <v>47778478.289999999</v>
      </c>
      <c r="H100" s="15">
        <f t="shared" ref="H100:I100" si="64">H101+H106+H111</f>
        <v>0</v>
      </c>
      <c r="I100" s="9">
        <f t="shared" si="64"/>
        <v>47778478.289999999</v>
      </c>
      <c r="J100" s="9">
        <f t="shared" si="62"/>
        <v>47778478.289999999</v>
      </c>
      <c r="K100" s="9">
        <f t="shared" si="39"/>
        <v>-45124478.289999999</v>
      </c>
      <c r="L100" s="20">
        <f t="shared" si="40"/>
        <v>18.002440953278072</v>
      </c>
      <c r="M100" s="25" t="s">
        <v>111</v>
      </c>
      <c r="N100" s="9">
        <f t="shared" si="41"/>
        <v>0</v>
      </c>
      <c r="O100" s="20">
        <f t="shared" si="42"/>
        <v>1</v>
      </c>
    </row>
    <row r="101" spans="1:15" ht="31.5" hidden="1">
      <c r="A101" s="10" t="s">
        <v>71</v>
      </c>
      <c r="B101" s="12" t="s">
        <v>62</v>
      </c>
      <c r="C101" s="9">
        <f t="shared" ref="C101:I101" si="65">C103</f>
        <v>230000</v>
      </c>
      <c r="D101" s="15">
        <f t="shared" si="65"/>
        <v>-230000</v>
      </c>
      <c r="E101" s="9">
        <f t="shared" si="65"/>
        <v>0</v>
      </c>
      <c r="F101" s="15">
        <f t="shared" si="65"/>
        <v>0</v>
      </c>
      <c r="G101" s="9">
        <f t="shared" si="65"/>
        <v>0</v>
      </c>
      <c r="H101" s="15">
        <f t="shared" si="65"/>
        <v>0</v>
      </c>
      <c r="I101" s="9">
        <f t="shared" si="65"/>
        <v>0</v>
      </c>
      <c r="J101" s="9">
        <f>SUM(J103:J105)</f>
        <v>0</v>
      </c>
      <c r="K101" s="9">
        <f t="shared" si="39"/>
        <v>230000</v>
      </c>
      <c r="L101" s="20">
        <f t="shared" si="40"/>
        <v>0</v>
      </c>
      <c r="M101" s="9"/>
      <c r="N101" s="9">
        <f t="shared" si="41"/>
        <v>0</v>
      </c>
      <c r="O101" s="20" t="e">
        <f t="shared" si="42"/>
        <v>#DIV/0!</v>
      </c>
    </row>
    <row r="102" spans="1:15" ht="15.75" hidden="1">
      <c r="A102" s="3" t="s">
        <v>6</v>
      </c>
      <c r="B102" s="12"/>
      <c r="C102" s="9"/>
      <c r="D102" s="15"/>
      <c r="E102" s="9"/>
      <c r="F102" s="15"/>
      <c r="G102" s="9"/>
      <c r="H102" s="15"/>
      <c r="I102" s="9"/>
      <c r="J102" s="9"/>
      <c r="K102" s="9">
        <f t="shared" si="39"/>
        <v>0</v>
      </c>
      <c r="L102" s="20" t="e">
        <f t="shared" si="40"/>
        <v>#DIV/0!</v>
      </c>
      <c r="M102" s="9"/>
      <c r="N102" s="9">
        <f t="shared" si="41"/>
        <v>0</v>
      </c>
      <c r="O102" s="20" t="e">
        <f t="shared" si="42"/>
        <v>#DIV/0!</v>
      </c>
    </row>
    <row r="103" spans="1:15" ht="15.75" hidden="1">
      <c r="A103" s="10" t="s">
        <v>7</v>
      </c>
      <c r="B103" s="12"/>
      <c r="C103" s="9">
        <v>230000</v>
      </c>
      <c r="D103" s="15">
        <f>-200000-30000</f>
        <v>-230000</v>
      </c>
      <c r="E103" s="9">
        <f>C103+D103</f>
        <v>0</v>
      </c>
      <c r="F103" s="15"/>
      <c r="G103" s="9">
        <f>E103+F103</f>
        <v>0</v>
      </c>
      <c r="H103" s="15"/>
      <c r="I103" s="9">
        <f>G103+H103</f>
        <v>0</v>
      </c>
      <c r="J103" s="9"/>
      <c r="K103" s="9">
        <f t="shared" si="39"/>
        <v>230000</v>
      </c>
      <c r="L103" s="20">
        <f t="shared" si="40"/>
        <v>0</v>
      </c>
      <c r="M103" s="9"/>
      <c r="N103" s="9">
        <f t="shared" si="41"/>
        <v>0</v>
      </c>
      <c r="O103" s="20" t="e">
        <f t="shared" si="42"/>
        <v>#DIV/0!</v>
      </c>
    </row>
    <row r="104" spans="1:15" ht="15.75" hidden="1">
      <c r="A104" s="3" t="s">
        <v>9</v>
      </c>
      <c r="B104" s="12"/>
      <c r="C104" s="9"/>
      <c r="D104" s="15"/>
      <c r="E104" s="9"/>
      <c r="F104" s="15"/>
      <c r="G104" s="9"/>
      <c r="H104" s="15"/>
      <c r="I104" s="9"/>
      <c r="J104" s="9"/>
      <c r="K104" s="9">
        <f t="shared" si="39"/>
        <v>0</v>
      </c>
      <c r="L104" s="20" t="e">
        <f t="shared" si="40"/>
        <v>#DIV/0!</v>
      </c>
      <c r="M104" s="9"/>
      <c r="N104" s="9">
        <f t="shared" si="41"/>
        <v>0</v>
      </c>
      <c r="O104" s="20" t="e">
        <f t="shared" si="42"/>
        <v>#DIV/0!</v>
      </c>
    </row>
    <row r="105" spans="1:15" ht="15.75" hidden="1">
      <c r="A105" s="3" t="s">
        <v>10</v>
      </c>
      <c r="B105" s="12"/>
      <c r="C105" s="9"/>
      <c r="D105" s="15"/>
      <c r="E105" s="9"/>
      <c r="F105" s="15"/>
      <c r="G105" s="9"/>
      <c r="H105" s="15"/>
      <c r="I105" s="9"/>
      <c r="J105" s="9"/>
      <c r="K105" s="9">
        <f t="shared" si="39"/>
        <v>0</v>
      </c>
      <c r="L105" s="20" t="e">
        <f t="shared" si="40"/>
        <v>#DIV/0!</v>
      </c>
      <c r="M105" s="9"/>
      <c r="N105" s="9">
        <f t="shared" si="41"/>
        <v>0</v>
      </c>
      <c r="O105" s="20" t="e">
        <f t="shared" si="42"/>
        <v>#DIV/0!</v>
      </c>
    </row>
    <row r="106" spans="1:15" ht="47.25" hidden="1">
      <c r="A106" s="3" t="s">
        <v>72</v>
      </c>
      <c r="B106" s="12" t="s">
        <v>63</v>
      </c>
      <c r="C106" s="9">
        <f>SUM(C108:C110)</f>
        <v>1070000</v>
      </c>
      <c r="D106" s="15">
        <f t="shared" ref="D106:J106" si="66">SUM(D108:D110)</f>
        <v>17710933.720000003</v>
      </c>
      <c r="E106" s="9">
        <f t="shared" si="66"/>
        <v>18780933.719999999</v>
      </c>
      <c r="F106" s="15">
        <f t="shared" ref="F106:G106" si="67">SUM(F108:F110)</f>
        <v>203178.84000000003</v>
      </c>
      <c r="G106" s="9">
        <f t="shared" si="67"/>
        <v>18984112.559999999</v>
      </c>
      <c r="H106" s="15">
        <f t="shared" ref="H106:I106" si="68">SUM(H108:H110)</f>
        <v>0</v>
      </c>
      <c r="I106" s="9">
        <f t="shared" si="68"/>
        <v>18984112.559999999</v>
      </c>
      <c r="J106" s="9">
        <f t="shared" si="66"/>
        <v>18984112.559999999</v>
      </c>
      <c r="K106" s="9">
        <f t="shared" si="39"/>
        <v>-17914112.559999999</v>
      </c>
      <c r="L106" s="20">
        <f t="shared" si="40"/>
        <v>17.742161271028035</v>
      </c>
      <c r="M106" s="9"/>
      <c r="N106" s="9">
        <f t="shared" si="41"/>
        <v>0</v>
      </c>
      <c r="O106" s="20">
        <f t="shared" si="42"/>
        <v>1</v>
      </c>
    </row>
    <row r="107" spans="1:15" ht="15.75" hidden="1">
      <c r="A107" s="3" t="s">
        <v>6</v>
      </c>
      <c r="B107" s="12"/>
      <c r="C107" s="9"/>
      <c r="D107" s="15"/>
      <c r="E107" s="9"/>
      <c r="F107" s="15"/>
      <c r="G107" s="9"/>
      <c r="H107" s="15"/>
      <c r="I107" s="9"/>
      <c r="J107" s="9"/>
      <c r="K107" s="9"/>
      <c r="L107" s="20"/>
      <c r="M107" s="9"/>
      <c r="N107" s="9"/>
      <c r="O107" s="20"/>
    </row>
    <row r="108" spans="1:15" ht="15.75" hidden="1">
      <c r="A108" s="3" t="s">
        <v>8</v>
      </c>
      <c r="B108" s="12"/>
      <c r="C108" s="9">
        <v>1070000</v>
      </c>
      <c r="D108" s="15">
        <v>30000</v>
      </c>
      <c r="E108" s="9">
        <f>C108+D108</f>
        <v>1100000</v>
      </c>
      <c r="F108" s="15">
        <f>-200000-9079.44</f>
        <v>-209079.44</v>
      </c>
      <c r="G108" s="9">
        <f>E108+F108</f>
        <v>890920.56</v>
      </c>
      <c r="H108" s="15">
        <v>0</v>
      </c>
      <c r="I108" s="9">
        <f>G108+H108</f>
        <v>890920.56</v>
      </c>
      <c r="J108" s="9">
        <v>890920.56</v>
      </c>
      <c r="K108" s="9">
        <f t="shared" si="39"/>
        <v>179079.43999999994</v>
      </c>
      <c r="L108" s="20">
        <f t="shared" si="40"/>
        <v>0.8326360373831776</v>
      </c>
      <c r="M108" s="9"/>
      <c r="N108" s="9">
        <f t="shared" si="41"/>
        <v>0</v>
      </c>
      <c r="O108" s="20">
        <f t="shared" si="42"/>
        <v>1</v>
      </c>
    </row>
    <row r="109" spans="1:15" ht="15.75" hidden="1">
      <c r="A109" s="3" t="s">
        <v>9</v>
      </c>
      <c r="B109" s="12"/>
      <c r="C109" s="9">
        <v>0</v>
      </c>
      <c r="D109" s="15">
        <v>353618.67</v>
      </c>
      <c r="E109" s="9">
        <f>C109+D109</f>
        <v>353618.67</v>
      </c>
      <c r="F109" s="15">
        <v>8245.2000000000007</v>
      </c>
      <c r="G109" s="9">
        <f>E109+F109</f>
        <v>361863.87</v>
      </c>
      <c r="H109" s="15"/>
      <c r="I109" s="9">
        <f>G109+H109</f>
        <v>361863.87</v>
      </c>
      <c r="J109" s="9">
        <v>361863.87</v>
      </c>
      <c r="K109" s="9">
        <f t="shared" si="39"/>
        <v>-361863.87</v>
      </c>
      <c r="L109" s="24" t="s">
        <v>98</v>
      </c>
      <c r="M109" s="9"/>
      <c r="N109" s="9">
        <f t="shared" si="41"/>
        <v>0</v>
      </c>
      <c r="O109" s="20">
        <f t="shared" si="42"/>
        <v>1</v>
      </c>
    </row>
    <row r="110" spans="1:15" ht="15.75" hidden="1">
      <c r="A110" s="3" t="s">
        <v>10</v>
      </c>
      <c r="B110" s="12"/>
      <c r="C110" s="9">
        <v>0</v>
      </c>
      <c r="D110" s="15">
        <v>17327315.050000001</v>
      </c>
      <c r="E110" s="9">
        <f>C110+D110</f>
        <v>17327315.050000001</v>
      </c>
      <c r="F110" s="15">
        <v>404013.08</v>
      </c>
      <c r="G110" s="9">
        <f>E110+F110</f>
        <v>17731328.129999999</v>
      </c>
      <c r="H110" s="15"/>
      <c r="I110" s="9">
        <f>G110+H110</f>
        <v>17731328.129999999</v>
      </c>
      <c r="J110" s="9">
        <v>17731328.129999999</v>
      </c>
      <c r="K110" s="9">
        <f t="shared" si="39"/>
        <v>-17731328.129999999</v>
      </c>
      <c r="L110" s="24" t="s">
        <v>98</v>
      </c>
      <c r="M110" s="9"/>
      <c r="N110" s="9">
        <f t="shared" si="41"/>
        <v>0</v>
      </c>
      <c r="O110" s="20">
        <f t="shared" si="42"/>
        <v>1</v>
      </c>
    </row>
    <row r="111" spans="1:15" ht="47.25" hidden="1">
      <c r="A111" s="3" t="s">
        <v>73</v>
      </c>
      <c r="B111" s="12" t="s">
        <v>70</v>
      </c>
      <c r="C111" s="9">
        <f t="shared" ref="C111:J111" si="69">C113+C114</f>
        <v>1354000</v>
      </c>
      <c r="D111" s="15">
        <f t="shared" si="69"/>
        <v>27231286.289999999</v>
      </c>
      <c r="E111" s="9">
        <f t="shared" si="69"/>
        <v>28585286.289999999</v>
      </c>
      <c r="F111" s="15">
        <f t="shared" ref="F111:G111" si="70">F113+F114</f>
        <v>209079.44</v>
      </c>
      <c r="G111" s="9">
        <f t="shared" si="70"/>
        <v>28794365.73</v>
      </c>
      <c r="H111" s="15">
        <f t="shared" ref="H111:I111" si="71">H113+H114</f>
        <v>0</v>
      </c>
      <c r="I111" s="9">
        <f t="shared" si="71"/>
        <v>28794365.73</v>
      </c>
      <c r="J111" s="9">
        <f t="shared" si="69"/>
        <v>28794365.73</v>
      </c>
      <c r="K111" s="9">
        <f t="shared" si="39"/>
        <v>-27440365.73</v>
      </c>
      <c r="L111" s="20">
        <f t="shared" si="40"/>
        <v>21.266148988183161</v>
      </c>
      <c r="M111" s="9"/>
      <c r="N111" s="9">
        <f t="shared" si="41"/>
        <v>0</v>
      </c>
      <c r="O111" s="20">
        <f t="shared" si="42"/>
        <v>1</v>
      </c>
    </row>
    <row r="112" spans="1:15" ht="15.75" hidden="1">
      <c r="A112" s="3" t="s">
        <v>6</v>
      </c>
      <c r="B112" s="12"/>
      <c r="C112" s="9"/>
      <c r="D112" s="15"/>
      <c r="E112" s="9"/>
      <c r="F112" s="15"/>
      <c r="G112" s="9"/>
      <c r="H112" s="15"/>
      <c r="I112" s="9"/>
      <c r="J112" s="9"/>
      <c r="K112" s="9"/>
      <c r="L112" s="20"/>
      <c r="M112" s="9"/>
      <c r="N112" s="9"/>
      <c r="O112" s="20"/>
    </row>
    <row r="113" spans="1:15" ht="15.75" hidden="1">
      <c r="A113" s="3" t="s">
        <v>8</v>
      </c>
      <c r="B113" s="12"/>
      <c r="C113" s="9">
        <v>1354000</v>
      </c>
      <c r="D113" s="15">
        <v>200000</v>
      </c>
      <c r="E113" s="9">
        <f>C113+D113</f>
        <v>1554000</v>
      </c>
      <c r="F113" s="15">
        <f>227060.28-17980.84</f>
        <v>209079.44</v>
      </c>
      <c r="G113" s="9">
        <f>E113+F113</f>
        <v>1763079.44</v>
      </c>
      <c r="H113" s="15"/>
      <c r="I113" s="9">
        <f>G113+H113</f>
        <v>1763079.44</v>
      </c>
      <c r="J113" s="9">
        <f>927060.27+836019.17</f>
        <v>1763079.44</v>
      </c>
      <c r="K113" s="9">
        <f t="shared" si="39"/>
        <v>-409079.43999999994</v>
      </c>
      <c r="L113" s="20">
        <f t="shared" si="40"/>
        <v>1.3021266174298374</v>
      </c>
      <c r="M113" s="9"/>
      <c r="N113" s="9">
        <f t="shared" si="41"/>
        <v>0</v>
      </c>
      <c r="O113" s="20">
        <f t="shared" si="42"/>
        <v>1</v>
      </c>
    </row>
    <row r="114" spans="1:15" ht="15.75" hidden="1">
      <c r="A114" s="3" t="s">
        <v>9</v>
      </c>
      <c r="B114" s="12"/>
      <c r="C114" s="9">
        <v>0</v>
      </c>
      <c r="D114" s="15">
        <v>27031286.289999999</v>
      </c>
      <c r="E114" s="9">
        <f>C114+D114</f>
        <v>27031286.289999999</v>
      </c>
      <c r="F114" s="15"/>
      <c r="G114" s="9">
        <f>E114+F114</f>
        <v>27031286.289999999</v>
      </c>
      <c r="H114" s="15"/>
      <c r="I114" s="9">
        <f>G114+H114</f>
        <v>27031286.289999999</v>
      </c>
      <c r="J114" s="9">
        <v>27031286.289999999</v>
      </c>
      <c r="K114" s="9">
        <f t="shared" si="39"/>
        <v>-27031286.289999999</v>
      </c>
      <c r="L114" s="24" t="s">
        <v>98</v>
      </c>
      <c r="M114" s="9"/>
      <c r="N114" s="9">
        <f t="shared" si="41"/>
        <v>0</v>
      </c>
      <c r="O114" s="20">
        <f t="shared" si="42"/>
        <v>1</v>
      </c>
    </row>
    <row r="115" spans="1:15" ht="94.5">
      <c r="A115" s="3" t="s">
        <v>59</v>
      </c>
      <c r="B115" s="33" t="s">
        <v>61</v>
      </c>
      <c r="C115" s="9">
        <f t="shared" ref="C115:J115" si="72">C117+C118</f>
        <v>500000</v>
      </c>
      <c r="D115" s="15">
        <f t="shared" si="72"/>
        <v>403600</v>
      </c>
      <c r="E115" s="9">
        <f t="shared" si="72"/>
        <v>903600</v>
      </c>
      <c r="F115" s="15">
        <f t="shared" ref="F115:G115" si="73">F117+F118</f>
        <v>4797191.25</v>
      </c>
      <c r="G115" s="9">
        <f t="shared" si="73"/>
        <v>5700791.25</v>
      </c>
      <c r="H115" s="15">
        <f t="shared" ref="H115:I115" si="74">H117+H118</f>
        <v>792450.82000000007</v>
      </c>
      <c r="I115" s="9">
        <f t="shared" si="74"/>
        <v>6493242.0700000003</v>
      </c>
      <c r="J115" s="9">
        <f t="shared" si="72"/>
        <v>6414584.6499999994</v>
      </c>
      <c r="K115" s="9">
        <f t="shared" si="39"/>
        <v>-5914584.6499999994</v>
      </c>
      <c r="L115" s="20">
        <f t="shared" si="40"/>
        <v>12.829169299999998</v>
      </c>
      <c r="M115" s="30" t="s">
        <v>112</v>
      </c>
      <c r="N115" s="9">
        <f t="shared" si="41"/>
        <v>78657.420000000857</v>
      </c>
      <c r="O115" s="20">
        <f t="shared" si="42"/>
        <v>0.98788626403389257</v>
      </c>
    </row>
    <row r="116" spans="1:15" ht="15.75" hidden="1">
      <c r="A116" s="3" t="s">
        <v>6</v>
      </c>
      <c r="B116" s="33"/>
      <c r="C116" s="9"/>
      <c r="D116" s="15"/>
      <c r="E116" s="9"/>
      <c r="F116" s="15"/>
      <c r="G116" s="9"/>
      <c r="H116" s="15"/>
      <c r="I116" s="9"/>
      <c r="J116" s="9"/>
      <c r="K116" s="9"/>
      <c r="L116" s="20"/>
      <c r="M116" s="9"/>
      <c r="N116" s="9"/>
      <c r="O116" s="20"/>
    </row>
    <row r="117" spans="1:15" ht="15.75" hidden="1">
      <c r="A117" s="3" t="s">
        <v>8</v>
      </c>
      <c r="B117" s="12"/>
      <c r="C117" s="9">
        <v>500000</v>
      </c>
      <c r="D117" s="15">
        <v>403600</v>
      </c>
      <c r="E117" s="9">
        <f>C117+D117</f>
        <v>903600</v>
      </c>
      <c r="F117" s="15">
        <f>4475541.76+9649.49</f>
        <v>4485191.25</v>
      </c>
      <c r="G117" s="9">
        <f>E117+F117</f>
        <v>5388791.25</v>
      </c>
      <c r="H117" s="15">
        <f>-351284.98+198735.8</f>
        <v>-152549.18</v>
      </c>
      <c r="I117" s="9">
        <f>G117+H117</f>
        <v>5236242.07</v>
      </c>
      <c r="J117" s="9">
        <f>45000+368000+29226.8+7961.77+116915.02+4645050.76</f>
        <v>5212154.3499999996</v>
      </c>
      <c r="K117" s="9">
        <f t="shared" si="39"/>
        <v>-4712154.3499999996</v>
      </c>
      <c r="L117" s="20">
        <f t="shared" si="40"/>
        <v>10.424308699999999</v>
      </c>
      <c r="M117" s="9"/>
      <c r="N117" s="9">
        <f t="shared" si="41"/>
        <v>24087.720000000671</v>
      </c>
      <c r="O117" s="20">
        <f t="shared" si="42"/>
        <v>0.99539980778619719</v>
      </c>
    </row>
    <row r="118" spans="1:15" ht="15.75" hidden="1">
      <c r="A118" s="3" t="s">
        <v>9</v>
      </c>
      <c r="B118" s="12"/>
      <c r="C118" s="9">
        <v>0</v>
      </c>
      <c r="D118" s="15"/>
      <c r="E118" s="9"/>
      <c r="F118" s="15">
        <f>312000</f>
        <v>312000</v>
      </c>
      <c r="G118" s="9">
        <f>E118+F118</f>
        <v>312000</v>
      </c>
      <c r="H118" s="15">
        <v>945000</v>
      </c>
      <c r="I118" s="9">
        <f>G118+H118</f>
        <v>1257000</v>
      </c>
      <c r="J118" s="9">
        <f>945000+257430.3</f>
        <v>1202430.3</v>
      </c>
      <c r="K118" s="9">
        <f t="shared" si="39"/>
        <v>-1202430.3</v>
      </c>
      <c r="L118" s="24" t="s">
        <v>98</v>
      </c>
      <c r="M118" s="9"/>
      <c r="N118" s="9">
        <f t="shared" si="41"/>
        <v>54569.699999999953</v>
      </c>
      <c r="O118" s="20">
        <f t="shared" si="42"/>
        <v>0.9565873508353222</v>
      </c>
    </row>
    <row r="119" spans="1:15" s="34" customFormat="1" ht="63">
      <c r="A119" s="36" t="s">
        <v>67</v>
      </c>
      <c r="B119" s="33" t="s">
        <v>86</v>
      </c>
      <c r="C119" s="9">
        <f t="shared" ref="C119:J119" si="75">C120</f>
        <v>6141000</v>
      </c>
      <c r="D119" s="15">
        <f t="shared" si="75"/>
        <v>0</v>
      </c>
      <c r="E119" s="9">
        <f t="shared" si="75"/>
        <v>6141000</v>
      </c>
      <c r="F119" s="15">
        <f t="shared" si="75"/>
        <v>300000</v>
      </c>
      <c r="G119" s="9">
        <f t="shared" si="75"/>
        <v>6441000</v>
      </c>
      <c r="H119" s="15">
        <f t="shared" si="75"/>
        <v>0</v>
      </c>
      <c r="I119" s="9">
        <f t="shared" si="75"/>
        <v>6441000</v>
      </c>
      <c r="J119" s="9">
        <f t="shared" si="75"/>
        <v>5315443.5</v>
      </c>
      <c r="K119" s="9">
        <f t="shared" si="39"/>
        <v>825556.5</v>
      </c>
      <c r="L119" s="20">
        <f t="shared" si="40"/>
        <v>0.86556643869076699</v>
      </c>
      <c r="M119" s="9" t="s">
        <v>110</v>
      </c>
      <c r="N119" s="9">
        <f t="shared" si="41"/>
        <v>1125556.5</v>
      </c>
      <c r="O119" s="20">
        <f t="shared" si="42"/>
        <v>0.82525128085700983</v>
      </c>
    </row>
    <row r="120" spans="1:15" ht="15.75" hidden="1">
      <c r="A120" s="3" t="s">
        <v>58</v>
      </c>
      <c r="B120" s="12"/>
      <c r="C120" s="9">
        <f>81000+2660000+3300000+100000</f>
        <v>6141000</v>
      </c>
      <c r="D120" s="15"/>
      <c r="E120" s="9">
        <f>C120+D120</f>
        <v>6141000</v>
      </c>
      <c r="F120" s="15">
        <f>300000</f>
        <v>300000</v>
      </c>
      <c r="G120" s="9">
        <f>E120+F120</f>
        <v>6441000</v>
      </c>
      <c r="H120" s="15">
        <f>-81000+81000</f>
        <v>0</v>
      </c>
      <c r="I120" s="9">
        <f>G120+H120</f>
        <v>6441000</v>
      </c>
      <c r="J120" s="9">
        <v>5315443.5</v>
      </c>
      <c r="K120" s="9">
        <f t="shared" si="39"/>
        <v>825556.5</v>
      </c>
      <c r="L120" s="20">
        <f t="shared" si="40"/>
        <v>0.86556643869076699</v>
      </c>
      <c r="M120" s="9"/>
      <c r="N120" s="9">
        <f t="shared" si="41"/>
        <v>1125556.5</v>
      </c>
      <c r="O120" s="20">
        <f t="shared" si="42"/>
        <v>0.82525128085700983</v>
      </c>
    </row>
    <row r="121" spans="1:15" s="34" customFormat="1" ht="110.25">
      <c r="A121" s="36" t="s">
        <v>64</v>
      </c>
      <c r="B121" s="33" t="s">
        <v>87</v>
      </c>
      <c r="C121" s="9">
        <f t="shared" ref="C121:I121" si="76">C122+C124</f>
        <v>315000</v>
      </c>
      <c r="D121" s="15">
        <f t="shared" si="76"/>
        <v>0</v>
      </c>
      <c r="E121" s="9">
        <f t="shared" si="76"/>
        <v>315000</v>
      </c>
      <c r="F121" s="15">
        <f t="shared" si="76"/>
        <v>0</v>
      </c>
      <c r="G121" s="9">
        <f t="shared" si="76"/>
        <v>315000</v>
      </c>
      <c r="H121" s="15">
        <f t="shared" si="76"/>
        <v>-90000</v>
      </c>
      <c r="I121" s="9">
        <f t="shared" si="76"/>
        <v>225000</v>
      </c>
      <c r="J121" s="9">
        <f t="shared" ref="J121" si="77">J122+J124</f>
        <v>172986</v>
      </c>
      <c r="K121" s="9">
        <f t="shared" si="39"/>
        <v>142014</v>
      </c>
      <c r="L121" s="20">
        <f t="shared" si="40"/>
        <v>0.54916190476190474</v>
      </c>
      <c r="M121" s="25" t="s">
        <v>113</v>
      </c>
      <c r="N121" s="9">
        <f t="shared" si="41"/>
        <v>52014</v>
      </c>
      <c r="O121" s="20">
        <f t="shared" si="42"/>
        <v>0.76882666666666666</v>
      </c>
    </row>
    <row r="122" spans="1:15" ht="48" hidden="1" customHeight="1">
      <c r="A122" s="3" t="s">
        <v>17</v>
      </c>
      <c r="B122" s="12" t="s">
        <v>65</v>
      </c>
      <c r="C122" s="9">
        <f t="shared" ref="C122:I122" si="78">C123</f>
        <v>310000</v>
      </c>
      <c r="D122" s="15">
        <f t="shared" si="78"/>
        <v>0</v>
      </c>
      <c r="E122" s="9">
        <f t="shared" si="78"/>
        <v>310000</v>
      </c>
      <c r="F122" s="15">
        <f t="shared" si="78"/>
        <v>0</v>
      </c>
      <c r="G122" s="9">
        <f t="shared" si="78"/>
        <v>310000</v>
      </c>
      <c r="H122" s="15">
        <f t="shared" si="78"/>
        <v>-90000</v>
      </c>
      <c r="I122" s="9">
        <f t="shared" si="78"/>
        <v>220000</v>
      </c>
      <c r="J122" s="9">
        <f>J123</f>
        <v>167986</v>
      </c>
      <c r="K122" s="9">
        <f t="shared" si="39"/>
        <v>142014</v>
      </c>
      <c r="L122" s="20">
        <f t="shared" si="40"/>
        <v>0.54189032258064518</v>
      </c>
      <c r="M122" s="9"/>
      <c r="N122" s="9">
        <f t="shared" si="41"/>
        <v>52014</v>
      </c>
      <c r="O122" s="20">
        <f t="shared" si="42"/>
        <v>0.76357272727272729</v>
      </c>
    </row>
    <row r="123" spans="1:15" ht="15.75" hidden="1">
      <c r="A123" s="10" t="s">
        <v>7</v>
      </c>
      <c r="B123" s="12"/>
      <c r="C123" s="9">
        <f>140000+40000+45000+30000+25000+30000</f>
        <v>310000</v>
      </c>
      <c r="D123" s="15"/>
      <c r="E123" s="9">
        <f>C123+D123</f>
        <v>310000</v>
      </c>
      <c r="F123" s="15"/>
      <c r="G123" s="9">
        <f>E123+F123</f>
        <v>310000</v>
      </c>
      <c r="H123" s="15">
        <f>-14500-35000-25000+14500-30000</f>
        <v>-90000</v>
      </c>
      <c r="I123" s="9">
        <f>G123+H123</f>
        <v>220000</v>
      </c>
      <c r="J123" s="9">
        <v>167986</v>
      </c>
      <c r="K123" s="9">
        <f t="shared" si="39"/>
        <v>142014</v>
      </c>
      <c r="L123" s="20">
        <f t="shared" si="40"/>
        <v>0.54189032258064518</v>
      </c>
      <c r="M123" s="9"/>
      <c r="N123" s="9">
        <f t="shared" si="41"/>
        <v>52014</v>
      </c>
      <c r="O123" s="20">
        <f t="shared" si="42"/>
        <v>0.76357272727272729</v>
      </c>
    </row>
    <row r="124" spans="1:15" ht="42.75" hidden="1" customHeight="1">
      <c r="A124" s="3" t="s">
        <v>18</v>
      </c>
      <c r="B124" s="12" t="s">
        <v>66</v>
      </c>
      <c r="C124" s="9">
        <f t="shared" ref="C124:I124" si="79">C125</f>
        <v>5000</v>
      </c>
      <c r="D124" s="15">
        <f t="shared" si="79"/>
        <v>0</v>
      </c>
      <c r="E124" s="9">
        <f t="shared" si="79"/>
        <v>5000</v>
      </c>
      <c r="F124" s="15">
        <f t="shared" si="79"/>
        <v>0</v>
      </c>
      <c r="G124" s="9">
        <f t="shared" si="79"/>
        <v>5000</v>
      </c>
      <c r="H124" s="15">
        <f t="shared" si="79"/>
        <v>0</v>
      </c>
      <c r="I124" s="9">
        <f t="shared" si="79"/>
        <v>5000</v>
      </c>
      <c r="J124" s="9">
        <f>J125</f>
        <v>5000</v>
      </c>
      <c r="K124" s="9">
        <f t="shared" si="39"/>
        <v>0</v>
      </c>
      <c r="L124" s="20">
        <f t="shared" si="40"/>
        <v>1</v>
      </c>
      <c r="M124" s="9"/>
      <c r="N124" s="9">
        <f t="shared" si="41"/>
        <v>0</v>
      </c>
      <c r="O124" s="20">
        <f t="shared" si="42"/>
        <v>1</v>
      </c>
    </row>
    <row r="125" spans="1:15" ht="15.75" hidden="1">
      <c r="A125" s="10" t="s">
        <v>7</v>
      </c>
      <c r="B125" s="12"/>
      <c r="C125" s="9">
        <v>5000</v>
      </c>
      <c r="D125" s="15"/>
      <c r="E125" s="9">
        <f>C125+D125</f>
        <v>5000</v>
      </c>
      <c r="F125" s="15"/>
      <c r="G125" s="9">
        <f>E125+F125</f>
        <v>5000</v>
      </c>
      <c r="H125" s="15"/>
      <c r="I125" s="9">
        <f>G125+H125</f>
        <v>5000</v>
      </c>
      <c r="J125" s="9">
        <v>5000</v>
      </c>
      <c r="K125" s="9">
        <f t="shared" si="39"/>
        <v>0</v>
      </c>
      <c r="L125" s="20">
        <f t="shared" si="40"/>
        <v>1</v>
      </c>
      <c r="M125" s="9"/>
      <c r="N125" s="9">
        <f t="shared" si="41"/>
        <v>0</v>
      </c>
      <c r="O125" s="20">
        <f t="shared" si="42"/>
        <v>1</v>
      </c>
    </row>
    <row r="126" spans="1:15" s="34" customFormat="1" ht="63">
      <c r="A126" s="32" t="s">
        <v>68</v>
      </c>
      <c r="B126" s="33" t="s">
        <v>22</v>
      </c>
      <c r="C126" s="9">
        <f t="shared" ref="C126:I126" si="80">C127</f>
        <v>610000</v>
      </c>
      <c r="D126" s="15">
        <f t="shared" si="80"/>
        <v>0</v>
      </c>
      <c r="E126" s="9">
        <f t="shared" si="80"/>
        <v>610000</v>
      </c>
      <c r="F126" s="15">
        <f t="shared" si="80"/>
        <v>0</v>
      </c>
      <c r="G126" s="9">
        <f t="shared" si="80"/>
        <v>610000</v>
      </c>
      <c r="H126" s="15">
        <f t="shared" si="80"/>
        <v>0</v>
      </c>
      <c r="I126" s="9">
        <f t="shared" si="80"/>
        <v>610000</v>
      </c>
      <c r="J126" s="9">
        <f>J127</f>
        <v>610000</v>
      </c>
      <c r="K126" s="9">
        <f t="shared" si="39"/>
        <v>0</v>
      </c>
      <c r="L126" s="20">
        <f t="shared" si="40"/>
        <v>1</v>
      </c>
      <c r="M126" s="9"/>
      <c r="N126" s="9">
        <f t="shared" si="41"/>
        <v>0</v>
      </c>
      <c r="O126" s="20">
        <f t="shared" si="42"/>
        <v>1</v>
      </c>
    </row>
    <row r="127" spans="1:15" ht="15.75" hidden="1">
      <c r="A127" s="10" t="s">
        <v>7</v>
      </c>
      <c r="B127" s="12"/>
      <c r="C127" s="9">
        <v>610000</v>
      </c>
      <c r="D127" s="15"/>
      <c r="E127" s="9">
        <f>C127+D127</f>
        <v>610000</v>
      </c>
      <c r="F127" s="15"/>
      <c r="G127" s="9">
        <f>E127+F127</f>
        <v>610000</v>
      </c>
      <c r="H127" s="15"/>
      <c r="I127" s="9">
        <f>G127+H127</f>
        <v>610000</v>
      </c>
      <c r="J127" s="9">
        <v>610000</v>
      </c>
      <c r="K127" s="9">
        <f t="shared" ref="K127" si="81">C127-J127</f>
        <v>0</v>
      </c>
      <c r="L127" s="20">
        <f t="shared" ref="L127" si="82">J127/C127</f>
        <v>1</v>
      </c>
      <c r="M127" s="9"/>
      <c r="N127" s="9">
        <f t="shared" ref="N127" si="83">I127-J127</f>
        <v>0</v>
      </c>
      <c r="O127" s="20">
        <f t="shared" ref="O127" si="84">J127/I127</f>
        <v>1</v>
      </c>
    </row>
  </sheetData>
  <mergeCells count="8">
    <mergeCell ref="A1:O1"/>
    <mergeCell ref="N5:O5"/>
    <mergeCell ref="K5:L5"/>
    <mergeCell ref="M5:M6"/>
    <mergeCell ref="I5:I6"/>
    <mergeCell ref="C5:C6"/>
    <mergeCell ref="A5:A6"/>
    <mergeCell ref="J5:J6"/>
  </mergeCells>
  <pageMargins left="0.70866141732283472" right="0.70866141732283472" top="0.54" bottom="0.41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Прогр(нов.форм)</vt:lpstr>
      <vt:lpstr>'9 Прогр(нов.форм)'!Заголовки_для_печати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1066</dc:creator>
  <cp:lastModifiedBy>Пшоняк</cp:lastModifiedBy>
  <cp:lastPrinted>2021-04-09T02:18:14Z</cp:lastPrinted>
  <dcterms:created xsi:type="dcterms:W3CDTF">2007-10-21T22:01:27Z</dcterms:created>
  <dcterms:modified xsi:type="dcterms:W3CDTF">2021-04-09T02:18:49Z</dcterms:modified>
</cp:coreProperties>
</file>